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433230\Desktop\"/>
    </mc:Choice>
  </mc:AlternateContent>
  <xr:revisionPtr revIDLastSave="0" documentId="13_ncr:1_{F2249254-34DA-438E-A95B-690525A79EDB}" xr6:coauthVersionLast="47" xr6:coauthVersionMax="47" xr10:uidLastSave="{00000000-0000-0000-0000-000000000000}"/>
  <bookViews>
    <workbookView xWindow="25200" yWindow="0" windowWidth="25680" windowHeight="21000" activeTab="2" xr2:uid="{00000000-000D-0000-FFFF-FFFF00000000}"/>
  </bookViews>
  <sheets>
    <sheet name="For Honeywell" sheetId="5" r:id="rId1"/>
    <sheet name="Lists" sheetId="3" state="hidden" r:id="rId2"/>
    <sheet name="1" sheetId="1" r:id="rId3"/>
  </sheets>
  <definedNames>
    <definedName name="_xlnm._FilterDatabase" localSheetId="1" hidden="1">Lists!$C$1:$E$1</definedName>
    <definedName name="Antall_detektorer">Lists!$B$1:$B$127</definedName>
    <definedName name="Antall_sløyfer">Lists!$A$1:$A$100</definedName>
    <definedName name="Detektortype">Lists!$C$1:$C$37</definedName>
    <definedName name="_xlnm.Print_Area" localSheetId="2">'1'!$A:$F</definedName>
    <definedName name="_xlnm.Print_Titles" localSheetId="2">'1'!$1:$5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C1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A94" i="1" l="1" a="1"/>
  <c r="A94" i="1" s="1"/>
  <c r="A131" i="1" a="1"/>
  <c r="A131" i="1" s="1"/>
  <c r="A130" i="1" a="1"/>
  <c r="A130" i="1" s="1"/>
  <c r="A129" i="1" a="1"/>
  <c r="A129" i="1" s="1"/>
  <c r="A128" i="1" a="1"/>
  <c r="A128" i="1" s="1"/>
  <c r="A127" i="1" a="1"/>
  <c r="A127" i="1" s="1"/>
  <c r="A126" i="1" a="1"/>
  <c r="A126" i="1" s="1"/>
  <c r="A125" i="1" a="1"/>
  <c r="A125" i="1" s="1"/>
  <c r="A124" i="1" a="1"/>
  <c r="A124" i="1" s="1"/>
  <c r="A123" i="1" a="1"/>
  <c r="A123" i="1" s="1"/>
  <c r="A122" i="1" a="1"/>
  <c r="A122" i="1" s="1"/>
  <c r="A121" i="1" a="1"/>
  <c r="A121" i="1" s="1"/>
  <c r="A120" i="1" a="1"/>
  <c r="A120" i="1" s="1"/>
  <c r="A119" i="1" a="1"/>
  <c r="A119" i="1" s="1"/>
  <c r="A118" i="1" a="1"/>
  <c r="A118" i="1" s="1"/>
  <c r="A117" i="1" a="1"/>
  <c r="A117" i="1" s="1"/>
  <c r="A116" i="1" a="1"/>
  <c r="A116" i="1" s="1"/>
  <c r="A115" i="1" a="1"/>
  <c r="A115" i="1" s="1"/>
  <c r="A114" i="1" a="1"/>
  <c r="A114" i="1" s="1"/>
  <c r="A113" i="1" a="1"/>
  <c r="A113" i="1" s="1"/>
  <c r="A112" i="1" a="1"/>
  <c r="A112" i="1" s="1"/>
  <c r="A111" i="1" a="1"/>
  <c r="A111" i="1" s="1"/>
  <c r="A110" i="1" a="1"/>
  <c r="A110" i="1" s="1"/>
  <c r="A109" i="1" a="1"/>
  <c r="A109" i="1" s="1"/>
  <c r="A108" i="1" a="1"/>
  <c r="A108" i="1" s="1"/>
  <c r="A107" i="1" a="1"/>
  <c r="A107" i="1" s="1"/>
  <c r="A106" i="1" a="1"/>
  <c r="A106" i="1" s="1"/>
  <c r="A105" i="1" a="1"/>
  <c r="A105" i="1" s="1"/>
  <c r="A104" i="1" a="1"/>
  <c r="A104" i="1" s="1"/>
  <c r="A103" i="1" a="1"/>
  <c r="A103" i="1" s="1"/>
  <c r="A102" i="1" a="1"/>
  <c r="A102" i="1" s="1"/>
  <c r="A101" i="1" a="1"/>
  <c r="A101" i="1" s="1"/>
  <c r="A100" i="1" a="1"/>
  <c r="A100" i="1" s="1"/>
  <c r="A99" i="1" a="1"/>
  <c r="A99" i="1" s="1"/>
  <c r="A98" i="1" a="1"/>
  <c r="A98" i="1" s="1"/>
  <c r="A97" i="1" a="1"/>
  <c r="A97" i="1" s="1"/>
  <c r="A96" i="1" a="1"/>
  <c r="A96" i="1" s="1"/>
  <c r="A95" i="1" a="1"/>
  <c r="A95" i="1" s="1"/>
  <c r="A93" i="1" a="1"/>
  <c r="A93" i="1" s="1"/>
  <c r="A92" i="1" a="1"/>
  <c r="A92" i="1" s="1"/>
  <c r="A91" i="1" a="1"/>
  <c r="A91" i="1" s="1"/>
  <c r="A90" i="1" a="1"/>
  <c r="A90" i="1" s="1"/>
  <c r="A89" i="1" a="1"/>
  <c r="A89" i="1" s="1"/>
  <c r="A88" i="1" a="1"/>
  <c r="A88" i="1" s="1"/>
  <c r="A87" i="1" a="1"/>
  <c r="A87" i="1" s="1"/>
  <c r="A86" i="1" a="1"/>
  <c r="A86" i="1" s="1"/>
  <c r="A85" i="1" a="1"/>
  <c r="A85" i="1" s="1"/>
  <c r="A84" i="1" a="1"/>
  <c r="A84" i="1" s="1"/>
  <c r="A83" i="1" a="1"/>
  <c r="A83" i="1" s="1"/>
  <c r="A82" i="1" a="1"/>
  <c r="A82" i="1" s="1"/>
  <c r="A81" i="1" a="1"/>
  <c r="A81" i="1" s="1"/>
  <c r="A80" i="1" a="1"/>
  <c r="A80" i="1" s="1"/>
  <c r="A79" i="1" a="1"/>
  <c r="A79" i="1" s="1"/>
  <c r="A78" i="1" a="1"/>
  <c r="A78" i="1" s="1"/>
  <c r="A77" i="1" a="1"/>
  <c r="A77" i="1" s="1"/>
  <c r="A76" i="1" a="1"/>
  <c r="A76" i="1" s="1"/>
  <c r="A75" i="1" a="1"/>
  <c r="A75" i="1" s="1"/>
  <c r="A74" i="1" a="1"/>
  <c r="A74" i="1" s="1"/>
  <c r="A73" i="1" a="1"/>
  <c r="A73" i="1" s="1"/>
  <c r="A72" i="1" a="1"/>
  <c r="A72" i="1" s="1"/>
  <c r="A71" i="1" a="1"/>
  <c r="A71" i="1" s="1"/>
  <c r="A70" i="1" a="1"/>
  <c r="A70" i="1" s="1"/>
  <c r="A69" i="1" a="1"/>
  <c r="A69" i="1" s="1"/>
  <c r="A68" i="1" a="1"/>
  <c r="A68" i="1" s="1"/>
  <c r="A67" i="1" a="1"/>
  <c r="A67" i="1" s="1"/>
  <c r="A66" i="1" a="1"/>
  <c r="A66" i="1" s="1"/>
  <c r="A65" i="1" a="1"/>
  <c r="A65" i="1" s="1"/>
  <c r="A64" i="1" a="1"/>
  <c r="A64" i="1" s="1"/>
  <c r="A63" i="1" a="1"/>
  <c r="A63" i="1" s="1"/>
  <c r="A62" i="1" a="1"/>
  <c r="A62" i="1" s="1"/>
  <c r="A61" i="1" a="1"/>
  <c r="A61" i="1" s="1"/>
  <c r="A60" i="1" a="1"/>
  <c r="A60" i="1" s="1"/>
  <c r="A59" i="1" a="1"/>
  <c r="A59" i="1" s="1"/>
  <c r="A58" i="1" a="1"/>
  <c r="A58" i="1" s="1"/>
  <c r="A57" i="1" a="1"/>
  <c r="A57" i="1" s="1"/>
  <c r="A56" i="1" a="1"/>
  <c r="A56" i="1" s="1"/>
  <c r="A55" i="1" a="1"/>
  <c r="A55" i="1" s="1"/>
  <c r="A54" i="1" a="1"/>
  <c r="A54" i="1" s="1"/>
  <c r="A53" i="1" a="1"/>
  <c r="A53" i="1" s="1"/>
  <c r="A52" i="1" a="1"/>
  <c r="A52" i="1" s="1"/>
  <c r="A51" i="1" a="1"/>
  <c r="A51" i="1" s="1"/>
  <c r="A50" i="1" a="1"/>
  <c r="A50" i="1" s="1"/>
  <c r="A49" i="1" a="1"/>
  <c r="A49" i="1" s="1"/>
  <c r="A48" i="1" a="1"/>
  <c r="A48" i="1" s="1"/>
  <c r="A47" i="1" a="1"/>
  <c r="A47" i="1" s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F9" i="1" l="1"/>
  <c r="F10" i="1" l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7" i="1"/>
  <c r="F6" i="1"/>
  <c r="D1" i="1" l="1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<sst xmlns="http://schemas.openxmlformats.org/spreadsheetml/2006/main" count="195" uniqueCount="45">
  <si>
    <t>FWE oppsett Decimal eller HEX for tekstimport</t>
  </si>
  <si>
    <t>Velg i drop down:</t>
  </si>
  <si>
    <t>Decimal</t>
  </si>
  <si>
    <t>Sløyfenummer</t>
  </si>
  <si>
    <t>Antall adresser</t>
  </si>
  <si>
    <t>Detektornr.</t>
  </si>
  <si>
    <t>Detektornavn (Bruk STORE BOKSTAVER)</t>
  </si>
  <si>
    <t>Antall tegn</t>
  </si>
  <si>
    <t>Detektortype</t>
  </si>
  <si>
    <t>Relesokkel</t>
  </si>
  <si>
    <t>Lastfaktor</t>
  </si>
  <si>
    <t/>
  </si>
  <si>
    <t>Ikke relevant</t>
  </si>
  <si>
    <t>Hex</t>
  </si>
  <si>
    <t>Overskriv med JA eller NEI</t>
  </si>
  <si>
    <t>802382 - IQ8Quad, optisk med summer (O/So)</t>
  </si>
  <si>
    <t>802383 - IQ8Quad O²T med flash (O2T/F)</t>
  </si>
  <si>
    <t>802384 - IQ8Quad O²T med summer (O2T/So)</t>
  </si>
  <si>
    <t>802385 - IQ8Quad O²T med flash og summer (O2T/FSp)</t>
  </si>
  <si>
    <t>807205(W/R) - IQ8Alarm/So</t>
  </si>
  <si>
    <t>807372RR.N0 - IQ8Alarm/FSp</t>
  </si>
  <si>
    <t>807214RR - IQ8Alarm/F</t>
  </si>
  <si>
    <t>807224(RR/RW) - IQ8Alarm/FSo</t>
  </si>
  <si>
    <t>802374 - IQ8Quad multisensor optisk, optisk/termisk, O2T</t>
  </si>
  <si>
    <t>802373 - IQ8Quad multisensor, optisk/termisk, OT</t>
  </si>
  <si>
    <t>802375 - IQ8Quad multisensor optisk/term., Otblue</t>
  </si>
  <si>
    <t>802473 - IQ8Quad multisensor optisk/termisk/CO, OTG</t>
  </si>
  <si>
    <t>804971/804961 - Manuell melder</t>
  </si>
  <si>
    <t>802371 - IQ8Quad optisk røykdetektor, O</t>
  </si>
  <si>
    <t>802271 - IQ8Quad termisk differensial, A1R</t>
  </si>
  <si>
    <t>802171 - IQ8Quad termisk maks, A1S</t>
  </si>
  <si>
    <t>802177 - IQ8Quad termisk maks, BS</t>
  </si>
  <si>
    <t>808623 - Esser Transponder 4 inn/2 ut</t>
  </si>
  <si>
    <t>808621 - Transponder IQ8FCT LP</t>
  </si>
  <si>
    <t>808606 - Transponder IQ8FCT XS</t>
  </si>
  <si>
    <t>808630.10 - Esser transponder fremmedmelder</t>
  </si>
  <si>
    <t>808610.10 - Esser transponder utgangsmodul - 12 reléer</t>
  </si>
  <si>
    <t>803171 - IQ8Quad termisk maks, A1S for kalde omgivelser</t>
  </si>
  <si>
    <t>802379 - IQ8Quad - kanaldetektor Otblue</t>
  </si>
  <si>
    <t>Eksempler på gode tekster:</t>
  </si>
  <si>
    <t>FORKLARING: M.M = MANUELL MELDER,   O.H = OVER HIMLING,   U.G = UNDER GULV</t>
  </si>
  <si>
    <t xml:space="preserve">02.001 BYGG A 1.ETG KORRIDOR VED RESEPSJON </t>
  </si>
  <si>
    <t>02.002 BYGG A 1.ETG KORRIDOR VED RESEPSJON M.M</t>
  </si>
  <si>
    <t>02.003 BYGG A 2.ETG KONTOR VED DAMETOALETT O.H</t>
  </si>
  <si>
    <t>02.004 BYGG A 2.ETG DATAROM U.G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</si>
</sst>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9" fontId="0" fillId="0" borderId="0" xfId="0" applyNumberFormat="1"/>
    <xf numFmtId="49" fontId="2" fillId="0" borderId="0" xfId="0" applyNumberFormat="1" applyFont="1"/>
    <xf numFmtId="49" fontId="1" fillId="0" borderId="0" xfId="1" applyNumberFormat="1"/>
    <xf numFmtId="0" fontId="0" fillId="0" borderId="0" xfId="0" quotePrefix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352425</xdr:colOff>
          <xdr:row>0</xdr:row>
          <xdr:rowOff>133350</xdr:rowOff>
        </xdr:from>
        <xdr:to>
          <xdr:col>7</xdr:col>
          <xdr:colOff>409575</xdr:colOff>
          <xdr:row>2</xdr:row>
          <xdr:rowOff>152400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Legg til flere sløyfer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0C18-2B68-4A86-AADD-C9B2BF32CD0E}">
  <sheetPr codeName="Sheet1"/>
  <dimension ref="B4:F5"/>
  <sheetViews>
    <sheetView showGridLines="0" workbookViewId="0">
      <selection activeCell="D5" sqref="D5:F5"/>
    </sheetView>
  </sheetViews>
  <sheetFormatPr defaultRowHeight="15" x14ac:dyDescent="0.25"/>
  <sheetData>
    <row r="4" spans="2:6" ht="15.75" thickBot="1" x14ac:dyDescent="0.3">
      <c r="B4" s="18" t="s">
        <v>0</v>
      </c>
      <c r="C4" s="18"/>
      <c r="D4" s="18"/>
      <c r="E4" s="18"/>
      <c r="F4" s="18"/>
    </row>
    <row r="5" spans="2:6" ht="15.75" thickBot="1" x14ac:dyDescent="0.3">
      <c r="B5" s="18" t="s">
        <v>1</v>
      </c>
      <c r="C5" s="18"/>
      <c r="D5" s="19" t="s">
        <v>2</v>
      </c>
      <c r="E5" s="20"/>
      <c r="F5" s="21"/>
    </row>
  </sheetData>
  <sheetProtection algorithmName="SHA-512" hashValue="0FIr6YTbyPPPQpVv5SxrRiQKVkwGFlxele/ctuPil9FIJ9CNnvts37JcS3Aw1nIxvC2B208BCc7arkCcQrU9KA==" saltValue="NV123fiOo/z4t48NFOYB3Q==" spinCount="100000" sheet="1" objects="1" scenarios="1" selectLockedCells="1"/>
  <mergeCells count="3">
    <mergeCell ref="B5:C5"/>
    <mergeCell ref="B4:F4"/>
    <mergeCell ref="D5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071B73-4F1C-4D37-AED8-DE7941D207A7}">
          <x14:formula1>
            <xm:f>Lists!$M$1:$M$2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127"/>
  <sheetViews>
    <sheetView zoomScaleNormal="100" workbookViewId="0">
      <selection activeCell="C1" sqref="C1"/>
    </sheetView>
  </sheetViews>
  <sheetFormatPr defaultRowHeight="15" x14ac:dyDescent="0.25"/>
  <cols>
    <col min="1" max="1" width="3" bestFit="1" customWidth="1"/>
    <col min="2" max="2" width="4" customWidth="1"/>
    <col min="3" max="3" width="50.7109375" bestFit="1" customWidth="1"/>
    <col min="4" max="4" width="3.140625" bestFit="1" customWidth="1"/>
  </cols>
  <sheetData>
    <row r="1" spans="1:13" x14ac:dyDescent="0.25">
      <c r="M1" t="s">
        <v>2</v>
      </c>
    </row>
    <row r="2" spans="1:13" x14ac:dyDescent="0.25">
      <c r="A2">
        <v>1</v>
      </c>
      <c r="B2">
        <v>1</v>
      </c>
      <c r="C2" t="s">
        <v>30</v>
      </c>
      <c r="D2" t="s">
        <v>14</v>
      </c>
      <c r="M2" t="s">
        <v>13</v>
      </c>
    </row>
    <row r="3" spans="1:13" x14ac:dyDescent="0.25">
      <c r="A3">
        <v>2</v>
      </c>
      <c r="B3">
        <v>2</v>
      </c>
      <c r="C3" t="s">
        <v>31</v>
      </c>
      <c r="D3" t="s">
        <v>14</v>
      </c>
    </row>
    <row r="4" spans="1:13" x14ac:dyDescent="0.25">
      <c r="A4">
        <v>3</v>
      </c>
      <c r="B4">
        <v>3</v>
      </c>
      <c r="C4" t="s">
        <v>29</v>
      </c>
      <c r="D4" t="s">
        <v>14</v>
      </c>
    </row>
    <row r="5" spans="1:13" x14ac:dyDescent="0.25">
      <c r="A5">
        <v>4</v>
      </c>
      <c r="B5">
        <v>4</v>
      </c>
      <c r="C5" t="s">
        <v>28</v>
      </c>
      <c r="D5" t="s">
        <v>14</v>
      </c>
    </row>
    <row r="6" spans="1:13" x14ac:dyDescent="0.25">
      <c r="A6">
        <v>5</v>
      </c>
      <c r="B6">
        <v>5</v>
      </c>
      <c r="C6" t="s">
        <v>24</v>
      </c>
      <c r="D6" t="s">
        <v>14</v>
      </c>
    </row>
    <row r="7" spans="1:13" x14ac:dyDescent="0.25">
      <c r="A7">
        <v>6</v>
      </c>
      <c r="B7">
        <v>6</v>
      </c>
      <c r="C7" t="s">
        <v>23</v>
      </c>
      <c r="D7" t="s">
        <v>14</v>
      </c>
    </row>
    <row r="8" spans="1:13" x14ac:dyDescent="0.25">
      <c r="A8">
        <v>7</v>
      </c>
      <c r="B8">
        <v>7</v>
      </c>
      <c r="C8" t="s">
        <v>25</v>
      </c>
      <c r="D8" t="s">
        <v>14</v>
      </c>
    </row>
    <row r="9" spans="1:13" x14ac:dyDescent="0.25">
      <c r="A9">
        <v>8</v>
      </c>
      <c r="B9">
        <v>8</v>
      </c>
      <c r="C9" t="s">
        <v>38</v>
      </c>
      <c r="D9" t="s">
        <v>12</v>
      </c>
    </row>
    <row r="10" spans="1:13" x14ac:dyDescent="0.25">
      <c r="A10">
        <v>9</v>
      </c>
      <c r="B10">
        <v>9</v>
      </c>
      <c r="C10" t="s">
        <v>15</v>
      </c>
      <c r="D10" t="s">
        <v>12</v>
      </c>
      <c r="E10">
        <v>2</v>
      </c>
    </row>
    <row r="11" spans="1:13" x14ac:dyDescent="0.25">
      <c r="A11">
        <v>10</v>
      </c>
      <c r="B11">
        <v>10</v>
      </c>
      <c r="C11" t="s">
        <v>16</v>
      </c>
      <c r="D11" t="s">
        <v>12</v>
      </c>
      <c r="E11">
        <v>2</v>
      </c>
    </row>
    <row r="12" spans="1:13" x14ac:dyDescent="0.25">
      <c r="A12">
        <v>11</v>
      </c>
      <c r="B12">
        <v>11</v>
      </c>
      <c r="C12" t="s">
        <v>17</v>
      </c>
      <c r="D12" t="s">
        <v>12</v>
      </c>
      <c r="E12">
        <v>2</v>
      </c>
    </row>
    <row r="13" spans="1:13" x14ac:dyDescent="0.25">
      <c r="A13">
        <v>12</v>
      </c>
      <c r="B13">
        <v>12</v>
      </c>
      <c r="C13" t="s">
        <v>18</v>
      </c>
      <c r="D13" t="s">
        <v>12</v>
      </c>
      <c r="E13">
        <v>3</v>
      </c>
    </row>
    <row r="14" spans="1:13" x14ac:dyDescent="0.25">
      <c r="A14">
        <v>13</v>
      </c>
      <c r="B14">
        <v>13</v>
      </c>
      <c r="C14" t="s">
        <v>26</v>
      </c>
      <c r="D14" t="s">
        <v>14</v>
      </c>
    </row>
    <row r="15" spans="1:13" x14ac:dyDescent="0.25">
      <c r="A15">
        <v>14</v>
      </c>
      <c r="B15">
        <v>14</v>
      </c>
      <c r="C15" t="s">
        <v>37</v>
      </c>
      <c r="D15" t="s">
        <v>14</v>
      </c>
    </row>
    <row r="16" spans="1:13" x14ac:dyDescent="0.25">
      <c r="A16">
        <v>15</v>
      </c>
      <c r="B16">
        <v>15</v>
      </c>
      <c r="C16" t="s">
        <v>27</v>
      </c>
      <c r="D16" t="s">
        <v>12</v>
      </c>
    </row>
    <row r="17" spans="1:5" x14ac:dyDescent="0.25">
      <c r="A17">
        <v>16</v>
      </c>
      <c r="B17">
        <v>16</v>
      </c>
      <c r="C17" t="s">
        <v>19</v>
      </c>
      <c r="D17" t="s">
        <v>12</v>
      </c>
      <c r="E17">
        <v>3</v>
      </c>
    </row>
    <row r="18" spans="1:5" x14ac:dyDescent="0.25">
      <c r="A18">
        <v>17</v>
      </c>
      <c r="B18">
        <v>17</v>
      </c>
      <c r="C18" t="s">
        <v>21</v>
      </c>
      <c r="D18" t="s">
        <v>12</v>
      </c>
      <c r="E18">
        <v>3</v>
      </c>
    </row>
    <row r="19" spans="1:5" x14ac:dyDescent="0.25">
      <c r="A19">
        <v>18</v>
      </c>
      <c r="B19">
        <v>18</v>
      </c>
      <c r="C19" t="s">
        <v>22</v>
      </c>
      <c r="D19" t="s">
        <v>12</v>
      </c>
      <c r="E19">
        <v>4.5</v>
      </c>
    </row>
    <row r="20" spans="1:5" x14ac:dyDescent="0.25">
      <c r="A20">
        <v>19</v>
      </c>
      <c r="B20">
        <v>19</v>
      </c>
      <c r="C20" t="s">
        <v>20</v>
      </c>
      <c r="D20" t="s">
        <v>12</v>
      </c>
      <c r="E20">
        <v>7</v>
      </c>
    </row>
    <row r="21" spans="1:5" x14ac:dyDescent="0.25">
      <c r="A21">
        <v>20</v>
      </c>
      <c r="B21">
        <v>20</v>
      </c>
      <c r="C21" t="s">
        <v>34</v>
      </c>
      <c r="D21" t="s">
        <v>12</v>
      </c>
    </row>
    <row r="22" spans="1:5" x14ac:dyDescent="0.25">
      <c r="A22">
        <v>21</v>
      </c>
      <c r="B22">
        <v>21</v>
      </c>
      <c r="C22" t="s">
        <v>36</v>
      </c>
      <c r="D22" t="s">
        <v>12</v>
      </c>
    </row>
    <row r="23" spans="1:5" x14ac:dyDescent="0.25">
      <c r="A23">
        <v>22</v>
      </c>
      <c r="B23">
        <v>22</v>
      </c>
      <c r="C23" t="s">
        <v>33</v>
      </c>
      <c r="D23" t="s">
        <v>12</v>
      </c>
    </row>
    <row r="24" spans="1:5" x14ac:dyDescent="0.25">
      <c r="A24">
        <v>23</v>
      </c>
      <c r="B24">
        <v>23</v>
      </c>
      <c r="C24" t="s">
        <v>32</v>
      </c>
      <c r="D24" t="s">
        <v>12</v>
      </c>
    </row>
    <row r="25" spans="1:5" x14ac:dyDescent="0.25">
      <c r="A25">
        <v>24</v>
      </c>
      <c r="B25">
        <v>24</v>
      </c>
      <c r="C25" t="s">
        <v>35</v>
      </c>
      <c r="D25" t="s">
        <v>12</v>
      </c>
    </row>
    <row r="26" spans="1:5" x14ac:dyDescent="0.25">
      <c r="A26">
        <v>25</v>
      </c>
      <c r="B26">
        <v>25</v>
      </c>
    </row>
    <row r="27" spans="1:5" x14ac:dyDescent="0.25">
      <c r="A27">
        <v>26</v>
      </c>
      <c r="B27">
        <v>26</v>
      </c>
    </row>
    <row r="28" spans="1:5" x14ac:dyDescent="0.25">
      <c r="A28">
        <v>27</v>
      </c>
      <c r="B28">
        <v>27</v>
      </c>
    </row>
    <row r="29" spans="1:5" x14ac:dyDescent="0.25">
      <c r="A29">
        <v>28</v>
      </c>
      <c r="B29">
        <v>28</v>
      </c>
    </row>
    <row r="30" spans="1:5" x14ac:dyDescent="0.25">
      <c r="A30">
        <v>29</v>
      </c>
      <c r="B30">
        <v>29</v>
      </c>
    </row>
    <row r="31" spans="1:5" x14ac:dyDescent="0.25">
      <c r="A31">
        <v>30</v>
      </c>
      <c r="B31">
        <v>30</v>
      </c>
    </row>
    <row r="32" spans="1:5" x14ac:dyDescent="0.25">
      <c r="A32">
        <v>31</v>
      </c>
      <c r="B32">
        <v>31</v>
      </c>
    </row>
    <row r="33" spans="1:2" x14ac:dyDescent="0.25">
      <c r="A33">
        <v>32</v>
      </c>
      <c r="B33">
        <v>32</v>
      </c>
    </row>
    <row r="34" spans="1:2" x14ac:dyDescent="0.25">
      <c r="A34">
        <v>33</v>
      </c>
      <c r="B34">
        <v>33</v>
      </c>
    </row>
    <row r="35" spans="1:2" x14ac:dyDescent="0.25">
      <c r="A35">
        <v>34</v>
      </c>
      <c r="B35">
        <v>34</v>
      </c>
    </row>
    <row r="36" spans="1:2" x14ac:dyDescent="0.25">
      <c r="A36">
        <v>35</v>
      </c>
      <c r="B36">
        <v>35</v>
      </c>
    </row>
    <row r="37" spans="1:2" x14ac:dyDescent="0.25">
      <c r="A37">
        <v>36</v>
      </c>
      <c r="B37">
        <v>36</v>
      </c>
    </row>
    <row r="38" spans="1:2" x14ac:dyDescent="0.25">
      <c r="A38">
        <v>37</v>
      </c>
      <c r="B38">
        <v>37</v>
      </c>
    </row>
    <row r="39" spans="1:2" x14ac:dyDescent="0.25">
      <c r="A39">
        <v>38</v>
      </c>
      <c r="B39">
        <v>38</v>
      </c>
    </row>
    <row r="40" spans="1:2" x14ac:dyDescent="0.25">
      <c r="A40">
        <v>39</v>
      </c>
      <c r="B40">
        <v>39</v>
      </c>
    </row>
    <row r="41" spans="1:2" x14ac:dyDescent="0.25">
      <c r="A41">
        <v>40</v>
      </c>
      <c r="B41">
        <v>40</v>
      </c>
    </row>
    <row r="42" spans="1:2" x14ac:dyDescent="0.25">
      <c r="A42">
        <v>41</v>
      </c>
      <c r="B42">
        <v>41</v>
      </c>
    </row>
    <row r="43" spans="1:2" x14ac:dyDescent="0.25">
      <c r="A43">
        <v>42</v>
      </c>
      <c r="B43">
        <v>42</v>
      </c>
    </row>
    <row r="44" spans="1:2" x14ac:dyDescent="0.25">
      <c r="A44">
        <v>43</v>
      </c>
      <c r="B44">
        <v>43</v>
      </c>
    </row>
    <row r="45" spans="1:2" x14ac:dyDescent="0.25">
      <c r="A45">
        <v>44</v>
      </c>
      <c r="B45">
        <v>44</v>
      </c>
    </row>
    <row r="46" spans="1:2" x14ac:dyDescent="0.25">
      <c r="A46">
        <v>45</v>
      </c>
      <c r="B46">
        <v>45</v>
      </c>
    </row>
    <row r="47" spans="1:2" x14ac:dyDescent="0.25">
      <c r="A47">
        <v>46</v>
      </c>
      <c r="B47">
        <v>46</v>
      </c>
    </row>
    <row r="48" spans="1:2" x14ac:dyDescent="0.25">
      <c r="A48">
        <v>47</v>
      </c>
      <c r="B48">
        <v>47</v>
      </c>
    </row>
    <row r="49" spans="1:2" x14ac:dyDescent="0.25">
      <c r="A49">
        <v>48</v>
      </c>
      <c r="B49">
        <v>48</v>
      </c>
    </row>
    <row r="50" spans="1:2" x14ac:dyDescent="0.25">
      <c r="A50">
        <v>49</v>
      </c>
      <c r="B50">
        <v>49</v>
      </c>
    </row>
    <row r="51" spans="1:2" x14ac:dyDescent="0.25">
      <c r="A51">
        <v>50</v>
      </c>
      <c r="B51">
        <v>50</v>
      </c>
    </row>
    <row r="52" spans="1:2" x14ac:dyDescent="0.25">
      <c r="A52">
        <v>51</v>
      </c>
      <c r="B52">
        <v>51</v>
      </c>
    </row>
    <row r="53" spans="1:2" x14ac:dyDescent="0.25">
      <c r="A53">
        <v>52</v>
      </c>
      <c r="B53">
        <v>52</v>
      </c>
    </row>
    <row r="54" spans="1:2" x14ac:dyDescent="0.25">
      <c r="A54">
        <v>53</v>
      </c>
      <c r="B54">
        <v>53</v>
      </c>
    </row>
    <row r="55" spans="1:2" x14ac:dyDescent="0.25">
      <c r="A55">
        <v>54</v>
      </c>
      <c r="B55">
        <v>54</v>
      </c>
    </row>
    <row r="56" spans="1:2" x14ac:dyDescent="0.25">
      <c r="A56">
        <v>55</v>
      </c>
      <c r="B56">
        <v>55</v>
      </c>
    </row>
    <row r="57" spans="1:2" x14ac:dyDescent="0.25">
      <c r="A57">
        <v>56</v>
      </c>
      <c r="B57">
        <v>56</v>
      </c>
    </row>
    <row r="58" spans="1:2" x14ac:dyDescent="0.25">
      <c r="A58">
        <v>57</v>
      </c>
      <c r="B58">
        <v>57</v>
      </c>
    </row>
    <row r="59" spans="1:2" x14ac:dyDescent="0.25">
      <c r="A59">
        <v>58</v>
      </c>
      <c r="B59">
        <v>58</v>
      </c>
    </row>
    <row r="60" spans="1:2" x14ac:dyDescent="0.25">
      <c r="A60">
        <v>59</v>
      </c>
      <c r="B60">
        <v>59</v>
      </c>
    </row>
    <row r="61" spans="1:2" x14ac:dyDescent="0.25">
      <c r="A61">
        <v>60</v>
      </c>
      <c r="B61">
        <v>60</v>
      </c>
    </row>
    <row r="62" spans="1:2" x14ac:dyDescent="0.25">
      <c r="A62">
        <v>61</v>
      </c>
      <c r="B62">
        <v>61</v>
      </c>
    </row>
    <row r="63" spans="1:2" x14ac:dyDescent="0.25">
      <c r="A63">
        <v>62</v>
      </c>
      <c r="B63">
        <v>62</v>
      </c>
    </row>
    <row r="64" spans="1:2" x14ac:dyDescent="0.25">
      <c r="A64">
        <v>63</v>
      </c>
      <c r="B64">
        <v>63</v>
      </c>
    </row>
    <row r="65" spans="1:2" x14ac:dyDescent="0.25">
      <c r="A65">
        <v>64</v>
      </c>
      <c r="B65">
        <v>64</v>
      </c>
    </row>
    <row r="66" spans="1:2" x14ac:dyDescent="0.25">
      <c r="A66">
        <v>65</v>
      </c>
      <c r="B66">
        <v>65</v>
      </c>
    </row>
    <row r="67" spans="1:2" x14ac:dyDescent="0.25">
      <c r="A67">
        <v>66</v>
      </c>
      <c r="B67">
        <v>66</v>
      </c>
    </row>
    <row r="68" spans="1:2" x14ac:dyDescent="0.25">
      <c r="A68">
        <v>67</v>
      </c>
      <c r="B68">
        <v>67</v>
      </c>
    </row>
    <row r="69" spans="1:2" x14ac:dyDescent="0.25">
      <c r="A69">
        <v>68</v>
      </c>
      <c r="B69">
        <v>68</v>
      </c>
    </row>
    <row r="70" spans="1:2" x14ac:dyDescent="0.25">
      <c r="A70">
        <v>69</v>
      </c>
      <c r="B70">
        <v>69</v>
      </c>
    </row>
    <row r="71" spans="1:2" x14ac:dyDescent="0.25">
      <c r="A71">
        <v>70</v>
      </c>
      <c r="B71">
        <v>70</v>
      </c>
    </row>
    <row r="72" spans="1:2" x14ac:dyDescent="0.25">
      <c r="A72">
        <v>71</v>
      </c>
      <c r="B72">
        <v>71</v>
      </c>
    </row>
    <row r="73" spans="1:2" x14ac:dyDescent="0.25">
      <c r="A73">
        <v>72</v>
      </c>
      <c r="B73">
        <v>72</v>
      </c>
    </row>
    <row r="74" spans="1:2" x14ac:dyDescent="0.25">
      <c r="A74">
        <v>73</v>
      </c>
      <c r="B74">
        <v>73</v>
      </c>
    </row>
    <row r="75" spans="1:2" x14ac:dyDescent="0.25">
      <c r="A75">
        <v>74</v>
      </c>
      <c r="B75">
        <v>74</v>
      </c>
    </row>
    <row r="76" spans="1:2" x14ac:dyDescent="0.25">
      <c r="A76">
        <v>75</v>
      </c>
      <c r="B76">
        <v>75</v>
      </c>
    </row>
    <row r="77" spans="1:2" x14ac:dyDescent="0.25">
      <c r="A77">
        <v>76</v>
      </c>
      <c r="B77">
        <v>76</v>
      </c>
    </row>
    <row r="78" spans="1:2" x14ac:dyDescent="0.25">
      <c r="A78">
        <v>77</v>
      </c>
      <c r="B78">
        <v>77</v>
      </c>
    </row>
    <row r="79" spans="1:2" x14ac:dyDescent="0.25">
      <c r="A79">
        <v>78</v>
      </c>
      <c r="B79">
        <v>78</v>
      </c>
    </row>
    <row r="80" spans="1:2" x14ac:dyDescent="0.25">
      <c r="A80">
        <v>79</v>
      </c>
      <c r="B80">
        <v>79</v>
      </c>
    </row>
    <row r="81" spans="1:2" x14ac:dyDescent="0.25">
      <c r="A81">
        <v>80</v>
      </c>
      <c r="B81">
        <v>80</v>
      </c>
    </row>
    <row r="82" spans="1:2" x14ac:dyDescent="0.25">
      <c r="A82">
        <v>81</v>
      </c>
      <c r="B82">
        <v>81</v>
      </c>
    </row>
    <row r="83" spans="1:2" x14ac:dyDescent="0.25">
      <c r="A83">
        <v>82</v>
      </c>
      <c r="B83">
        <v>82</v>
      </c>
    </row>
    <row r="84" spans="1:2" x14ac:dyDescent="0.25">
      <c r="A84">
        <v>83</v>
      </c>
      <c r="B84">
        <v>83</v>
      </c>
    </row>
    <row r="85" spans="1:2" x14ac:dyDescent="0.25">
      <c r="A85">
        <v>84</v>
      </c>
      <c r="B85">
        <v>84</v>
      </c>
    </row>
    <row r="86" spans="1:2" x14ac:dyDescent="0.25">
      <c r="A86">
        <v>85</v>
      </c>
      <c r="B86">
        <v>85</v>
      </c>
    </row>
    <row r="87" spans="1:2" x14ac:dyDescent="0.25">
      <c r="A87">
        <v>86</v>
      </c>
      <c r="B87">
        <v>86</v>
      </c>
    </row>
    <row r="88" spans="1:2" x14ac:dyDescent="0.25">
      <c r="A88">
        <v>87</v>
      </c>
      <c r="B88">
        <v>87</v>
      </c>
    </row>
    <row r="89" spans="1:2" x14ac:dyDescent="0.25">
      <c r="A89">
        <v>88</v>
      </c>
      <c r="B89">
        <v>88</v>
      </c>
    </row>
    <row r="90" spans="1:2" x14ac:dyDescent="0.25">
      <c r="A90">
        <v>89</v>
      </c>
      <c r="B90">
        <v>89</v>
      </c>
    </row>
    <row r="91" spans="1:2" x14ac:dyDescent="0.25">
      <c r="A91">
        <v>90</v>
      </c>
      <c r="B91">
        <v>90</v>
      </c>
    </row>
    <row r="92" spans="1:2" x14ac:dyDescent="0.25">
      <c r="A92">
        <v>91</v>
      </c>
      <c r="B92">
        <v>91</v>
      </c>
    </row>
    <row r="93" spans="1:2" x14ac:dyDescent="0.25">
      <c r="A93">
        <v>92</v>
      </c>
      <c r="B93">
        <v>92</v>
      </c>
    </row>
    <row r="94" spans="1:2" x14ac:dyDescent="0.25">
      <c r="A94">
        <v>93</v>
      </c>
      <c r="B94">
        <v>93</v>
      </c>
    </row>
    <row r="95" spans="1:2" x14ac:dyDescent="0.25">
      <c r="A95">
        <v>94</v>
      </c>
      <c r="B95">
        <v>94</v>
      </c>
    </row>
    <row r="96" spans="1:2" x14ac:dyDescent="0.25">
      <c r="A96">
        <v>95</v>
      </c>
      <c r="B96">
        <v>95</v>
      </c>
    </row>
    <row r="97" spans="1:2" x14ac:dyDescent="0.25">
      <c r="A97">
        <v>96</v>
      </c>
      <c r="B97">
        <v>96</v>
      </c>
    </row>
    <row r="98" spans="1:2" x14ac:dyDescent="0.25">
      <c r="A98">
        <v>97</v>
      </c>
      <c r="B98">
        <v>97</v>
      </c>
    </row>
    <row r="99" spans="1:2" x14ac:dyDescent="0.25">
      <c r="A99">
        <v>98</v>
      </c>
      <c r="B99">
        <v>98</v>
      </c>
    </row>
    <row r="100" spans="1:2" x14ac:dyDescent="0.25">
      <c r="A100">
        <v>99</v>
      </c>
      <c r="B100">
        <v>99</v>
      </c>
    </row>
    <row r="101" spans="1:2" x14ac:dyDescent="0.25">
      <c r="B101">
        <v>100</v>
      </c>
    </row>
    <row r="102" spans="1:2" x14ac:dyDescent="0.25">
      <c r="B102">
        <v>101</v>
      </c>
    </row>
    <row r="103" spans="1:2" x14ac:dyDescent="0.25">
      <c r="B103">
        <v>102</v>
      </c>
    </row>
    <row r="104" spans="1:2" x14ac:dyDescent="0.25">
      <c r="B104">
        <v>103</v>
      </c>
    </row>
    <row r="105" spans="1:2" x14ac:dyDescent="0.25">
      <c r="B105">
        <v>104</v>
      </c>
    </row>
    <row r="106" spans="1:2" x14ac:dyDescent="0.25">
      <c r="B106">
        <v>105</v>
      </c>
    </row>
    <row r="107" spans="1:2" x14ac:dyDescent="0.25">
      <c r="B107">
        <v>106</v>
      </c>
    </row>
    <row r="108" spans="1:2" x14ac:dyDescent="0.25">
      <c r="B108">
        <v>107</v>
      </c>
    </row>
    <row r="109" spans="1:2" x14ac:dyDescent="0.25">
      <c r="B109">
        <v>108</v>
      </c>
    </row>
    <row r="110" spans="1:2" x14ac:dyDescent="0.25">
      <c r="B110">
        <v>109</v>
      </c>
    </row>
    <row r="111" spans="1:2" x14ac:dyDescent="0.25">
      <c r="B111">
        <v>110</v>
      </c>
    </row>
    <row r="112" spans="1:2" x14ac:dyDescent="0.25">
      <c r="B112">
        <v>111</v>
      </c>
    </row>
    <row r="113" spans="2:2" x14ac:dyDescent="0.25">
      <c r="B113">
        <v>112</v>
      </c>
    </row>
    <row r="114" spans="2:2" x14ac:dyDescent="0.25">
      <c r="B114">
        <v>113</v>
      </c>
    </row>
    <row r="115" spans="2:2" x14ac:dyDescent="0.25">
      <c r="B115">
        <v>114</v>
      </c>
    </row>
    <row r="116" spans="2:2" x14ac:dyDescent="0.25">
      <c r="B116">
        <v>115</v>
      </c>
    </row>
    <row r="117" spans="2:2" x14ac:dyDescent="0.25">
      <c r="B117">
        <v>116</v>
      </c>
    </row>
    <row r="118" spans="2:2" x14ac:dyDescent="0.25">
      <c r="B118">
        <v>117</v>
      </c>
    </row>
    <row r="119" spans="2:2" x14ac:dyDescent="0.25">
      <c r="B119">
        <v>118</v>
      </c>
    </row>
    <row r="120" spans="2:2" x14ac:dyDescent="0.25">
      <c r="B120">
        <v>119</v>
      </c>
    </row>
    <row r="121" spans="2:2" x14ac:dyDescent="0.25">
      <c r="B121">
        <v>120</v>
      </c>
    </row>
    <row r="122" spans="2:2" x14ac:dyDescent="0.25">
      <c r="B122">
        <v>121</v>
      </c>
    </row>
    <row r="123" spans="2:2" x14ac:dyDescent="0.25">
      <c r="B123">
        <v>122</v>
      </c>
    </row>
    <row r="124" spans="2:2" x14ac:dyDescent="0.25">
      <c r="B124">
        <v>123</v>
      </c>
    </row>
    <row r="125" spans="2:2" x14ac:dyDescent="0.25">
      <c r="B125">
        <v>124</v>
      </c>
    </row>
    <row r="126" spans="2:2" x14ac:dyDescent="0.25">
      <c r="B126">
        <v>125</v>
      </c>
    </row>
    <row r="127" spans="2:2" x14ac:dyDescent="0.25">
      <c r="B127">
        <v>126</v>
      </c>
    </row>
  </sheetData>
  <sheetProtection algorithmName="SHA-512" hashValue="CLxKFTbNG8EMf9VlaRCrY6X1H3qAx1zgAihOkgZAEW5pEA0zWdpwEEDltUu+Zn9kdndssbW/iId/zjI39bEaEQ==" saltValue="NHpq4xrR2k0SldSreVdG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33"/>
  <sheetViews>
    <sheetView tabSelected="1" zoomScaleNormal="100" workbookViewId="0">
      <selection activeCell="B6" sqref="B6"/>
    </sheetView>
  </sheetViews>
  <sheetFormatPr defaultRowHeight="15" x14ac:dyDescent="0.25"/>
  <cols>
    <col min="1" max="1" width="13.42578125" customWidth="1"/>
    <col min="2" max="2" width="53.85546875" style="2" bestFit="1" customWidth="1"/>
    <col min="3" max="3" width="10.7109375" bestFit="1" customWidth="1"/>
    <col min="4" max="4" width="53" bestFit="1" customWidth="1"/>
    <col min="5" max="5" width="24.7109375" bestFit="1" customWidth="1"/>
    <col min="6" max="6" width="9.140625" customWidth="1"/>
    <col min="17" max="17" width="11" customWidth="1"/>
  </cols>
  <sheetData>
    <row r="1" spans="1:17" ht="15.75" thickBot="1" x14ac:dyDescent="0.3">
      <c r="C1" t="str">
        <f>'For Honeywell'!$D5</f>
        <v>Decimal</v>
      </c>
      <c r="D1" s="8" t="str">
        <f>"Total lastfaktor for sløyfe: "&amp;SUM(F6:F131)</f>
        <v>Total lastfaktor for sløyfe: 0</v>
      </c>
    </row>
    <row r="2" spans="1:17" x14ac:dyDescent="0.25">
      <c r="A2" s="18" t="s">
        <v>3</v>
      </c>
      <c r="B2" s="18"/>
      <c r="C2" s="6">
        <v>1</v>
      </c>
      <c r="J2" s="9" t="s">
        <v>39</v>
      </c>
      <c r="K2" s="10"/>
      <c r="L2" s="10"/>
      <c r="M2" s="10"/>
      <c r="N2" s="10"/>
      <c r="O2" s="10"/>
      <c r="P2" s="10"/>
      <c r="Q2" s="11"/>
    </row>
    <row r="3" spans="1:17" x14ac:dyDescent="0.25">
      <c r="A3" s="18" t="s">
        <v>4</v>
      </c>
      <c r="B3" s="18"/>
      <c r="C3" s="6">
        <v>1</v>
      </c>
      <c r="J3" s="12"/>
      <c r="K3" s="13"/>
      <c r="L3" s="13"/>
      <c r="M3" s="13"/>
      <c r="N3" s="13"/>
      <c r="O3" s="13"/>
      <c r="P3" s="13"/>
      <c r="Q3" s="14"/>
    </row>
    <row r="4" spans="1:17" x14ac:dyDescent="0.25">
      <c r="J4" s="12" t="s">
        <v>41</v>
      </c>
      <c r="K4" s="13"/>
      <c r="L4" s="13"/>
      <c r="M4" s="13"/>
      <c r="N4" s="13"/>
      <c r="O4" s="13"/>
      <c r="P4" s="13"/>
      <c r="Q4" s="14"/>
    </row>
    <row r="5" spans="1:17" x14ac:dyDescent="0.25">
      <c r="A5" s="1" t="s">
        <v>5</v>
      </c>
      <c r="B5" s="3" t="s">
        <v>6</v>
      </c>
      <c r="C5" s="1" t="s">
        <v>7</v>
      </c>
      <c r="D5" s="1" t="s">
        <v>8</v>
      </c>
      <c r="E5" s="1" t="s">
        <v>9</v>
      </c>
      <c r="F5" s="1" t="s">
        <v>10</v>
      </c>
      <c r="J5" s="12" t="s">
        <v>42</v>
      </c>
      <c r="K5" s="13"/>
      <c r="L5" s="13"/>
      <c r="M5" s="13"/>
      <c r="N5" s="13"/>
      <c r="O5" s="13"/>
      <c r="P5" s="13"/>
      <c r="Q5" s="14"/>
    </row>
    <row r="6" spans="1:17" x14ac:dyDescent="0.25">
      <c r="A6" t="str" cm="1">
        <f t="array" ref="A6">_xlfn.IFS(C1="Decimal",(IF(INT(RIGHT(CONCATENATE(IF($C$2&lt;10,CONCATENATE("0",$C$2),$C$2),".","001"),3))&lt;($C$3+1),CONCATENATE(IF($C$2&lt;10,CONCATENATE("0",$C$2),$C$2),".","001"),"")),C1="Hex",(IF(INT(RIGHT(CONCATENATE(IF($C$2&lt;10,CONCATENATE("0",$C$2),$C$2),".","001"),3))&lt;($C$3+1),CONCATENATE(DEC2HEX($C$2),".","001"),"")))</f>
        <v>01.001</v>
      </c>
      <c r="B6" s="7" t="s">
        <v>11</v>
      </c>
      <c r="C6" t="str">
        <f>IF(LEN(B6)=0,"",LEN(B6))</f>
        <v/>
      </c>
      <c r="D6" s="6"/>
      <c r="E6" s="6" t="str">
        <f>IFERROR(VLOOKUP(D6,Lists!C:D,2,FALSE),"")</f>
        <v/>
      </c>
      <c r="F6" t="str">
        <f>IFERROR(VLOOKUP(D6,Lists!C:E,3,FALSE),"")</f>
        <v/>
      </c>
      <c r="G6" s="4"/>
      <c r="J6" s="12" t="s">
        <v>43</v>
      </c>
      <c r="K6" s="13"/>
      <c r="L6" s="13"/>
      <c r="M6" s="13"/>
      <c r="N6" s="13"/>
      <c r="O6" s="13"/>
      <c r="P6" s="13"/>
      <c r="Q6" s="14"/>
    </row>
    <row r="7" spans="1:17" x14ac:dyDescent="0.25">
      <c r="A7" t="str" cm="1">
        <f t="array" ref="A7">_xlfn.IFS(C1="Decimal",(IF(INT(RIGHT(CONCATENATE(IF($C$2&lt;10,CONCATENATE("0",$C$2),$C$2),".","002"),3))&lt;($C$3+1),CONCATENATE(IF($C$2&lt;10,CONCATENATE("0",$C$2),$C$2),".","002"),"")),C1="Hex",(IF(INT(RIGHT(CONCATENATE(IF($C$2&lt;10,CONCATENATE("0",$C$2),$C$2),".","002"),3))&lt;($C$3+1),CONCATENATE(DEC2HEX($C$2),".","002"),"")))</f>
        <v/>
      </c>
      <c r="B7" s="7" t="s">
        <v>11</v>
      </c>
      <c r="C7" t="str">
        <f t="shared" ref="C7:C70" si="0">IF(LEN(B7)=0,"",LEN(B7))</f>
        <v/>
      </c>
      <c r="D7" s="6"/>
      <c r="E7" s="6" t="str">
        <f>IFERROR(VLOOKUP(D7,Lists!C:D,2,FALSE),"")</f>
        <v/>
      </c>
      <c r="F7" t="str">
        <f>IFERROR(VLOOKUP(D7,Lists!C:E,3,FALSE),"")</f>
        <v/>
      </c>
      <c r="G7" s="2"/>
      <c r="J7" s="12" t="s">
        <v>44</v>
      </c>
      <c r="K7" s="13"/>
      <c r="L7" s="13"/>
      <c r="M7" s="13"/>
      <c r="N7" s="13"/>
      <c r="O7" s="13"/>
      <c r="P7" s="13"/>
      <c r="Q7" s="14"/>
    </row>
    <row r="8" spans="1:17" ht="15.75" thickBot="1" x14ac:dyDescent="0.3">
      <c r="A8" t="str" cm="1">
        <f t="array" ref="A8">_xlfn.IFS(C1="Decimal",(IF(INT(RIGHT(CONCATENATE(IF($C$2&lt;10,CONCATENATE("0",$C$2),$C$2),".","003"),3))&lt;($C$3+1),CONCATENATE(IF($C$2&lt;10,CONCATENATE("0",$C$2),$C$2),".","003"),"")),C1="Hex",(IF(INT(RIGHT(CONCATENATE(IF($C$2&lt;10,CONCATENATE("0",$C$2),$C$2),".","003"),3))&lt;($C$3+1),CONCATENATE(DEC2HEX($C$2),".","003"),"")))</f>
        <v/>
      </c>
      <c r="B8" s="7" t="s">
        <v>11</v>
      </c>
      <c r="C8" t="str">
        <f t="shared" si="0"/>
        <v/>
      </c>
      <c r="D8" s="6"/>
      <c r="E8" s="6" t="str">
        <f>IFERROR(VLOOKUP(D8,Lists!C:D,2,FALSE),"")</f>
        <v/>
      </c>
      <c r="F8" t="str">
        <f>IFERROR(VLOOKUP(D8,Lists!C:E,3,FALSE),"")</f>
        <v/>
      </c>
      <c r="G8" s="2"/>
      <c r="J8" s="15" t="s">
        <v>40</v>
      </c>
      <c r="K8" s="16"/>
      <c r="L8" s="16"/>
      <c r="M8" s="16"/>
      <c r="N8" s="16"/>
      <c r="O8" s="16"/>
      <c r="P8" s="16"/>
      <c r="Q8" s="17"/>
    </row>
    <row r="9" spans="1:17" x14ac:dyDescent="0.25">
      <c r="A9" t="str" cm="1">
        <f t="array" ref="A9">_xlfn.IFS(C1="Decimal",(IF(INT(RIGHT(CONCATENATE(IF($C$2&lt;10,CONCATENATE("0",$C$2),$C$2),".","004"),3))&lt;($C$3+1),CONCATENATE(IF($C$2&lt;10,CONCATENATE("0",$C$2),$C$2),".","004"),"")),C1="Hex",(IF(INT(RIGHT(CONCATENATE(IF($C$2&lt;10,CONCATENATE("0",$C$2),$C$2),".","004"),3))&lt;($C$3+1),CONCATENATE(DEC2HEX($C$2),".","004"),"")))</f>
        <v/>
      </c>
      <c r="B9" s="7" t="s">
        <v>11</v>
      </c>
      <c r="C9" t="str">
        <f t="shared" si="0"/>
        <v/>
      </c>
      <c r="D9" s="6"/>
      <c r="E9" s="6" t="str">
        <f>IFERROR(VLOOKUP(D9,Lists!C:D,2,FALSE),"")</f>
        <v/>
      </c>
      <c r="F9" t="str">
        <f>IFERROR(VLOOKUP(D9,Lists!C:E,3,FALSE),"")</f>
        <v/>
      </c>
      <c r="G9" s="2"/>
    </row>
    <row r="10" spans="1:17" x14ac:dyDescent="0.25">
      <c r="A10" t="str" cm="1">
        <f t="array" ref="A10">_xlfn.IFS(C1="Decimal",(IF(INT(RIGHT(CONCATENATE(IF($C$2&lt;10,CONCATENATE("0",$C$2),$C$2),".","005"),3))&lt;($C$3+1),CONCATENATE(IF($C$2&lt;10,CONCATENATE("0",$C$2),$C$2),".","005"),"")),C1="Hex",(IF(INT(RIGHT(CONCATENATE(IF($C$2&lt;10,CONCATENATE("0",$C$2),$C$2),".","005"),3))&lt;($C$3+1),CONCATENATE(DEC2HEX($C$2),".","005"),"")))</f>
        <v/>
      </c>
      <c r="B10" s="7" t="s">
        <v>11</v>
      </c>
      <c r="C10" t="str">
        <f t="shared" si="0"/>
        <v/>
      </c>
      <c r="D10" s="6"/>
      <c r="E10" s="6" t="str">
        <f>IFERROR(VLOOKUP(D10,Lists!C:D,2,FALSE),"")</f>
        <v/>
      </c>
      <c r="F10" t="str">
        <f>IFERROR(VLOOKUP(D10,Lists!C:E,3,FALSE),"")</f>
        <v/>
      </c>
      <c r="G10" s="4"/>
    </row>
    <row r="11" spans="1:17" x14ac:dyDescent="0.25">
      <c r="A11" t="str" cm="1">
        <f t="array" ref="A11">_xlfn.IFS(C1="Decimal",(IF(INT(RIGHT(CONCATENATE(IF($C$2&lt;10,CONCATENATE("0",$C$2),$C$2),".","006"),3))&lt;($C$3+1),CONCATENATE(IF($C$2&lt;10,CONCATENATE("0",$C$2),$C$2),".","006"),"")),C1="Hex",(IF(INT(RIGHT(CONCATENATE(IF($C$2&lt;10,CONCATENATE("0",$C$2),$C$2),".","006"),3))&lt;($C$3+1),CONCATENATE(DEC2HEX($C$2),".","006"),"")))</f>
        <v/>
      </c>
      <c r="B11" s="7" t="s">
        <v>11</v>
      </c>
      <c r="C11" t="str">
        <f t="shared" si="0"/>
        <v/>
      </c>
      <c r="D11" s="6"/>
      <c r="E11" s="6" t="str">
        <f>IFERROR(VLOOKUP(D11,Lists!C:D,2,FALSE),"")</f>
        <v/>
      </c>
      <c r="F11" t="str">
        <f>IFERROR(VLOOKUP(D11,Lists!C:E,3,FALSE),"")</f>
        <v/>
      </c>
      <c r="G11" s="2"/>
    </row>
    <row r="12" spans="1:17" x14ac:dyDescent="0.25">
      <c r="A12" t="str" cm="1">
        <f t="array" ref="A12">_xlfn.IFS(C1="Decimal",(IF(INT(RIGHT(CONCATENATE(IF($C$2&lt;10,CONCATENATE("0",$C$2),$C$2),".","007"),3))&lt;($C$3+1),CONCATENATE(IF($C$2&lt;10,CONCATENATE("0",$C$2),$C$2),".","007"),"")),C1="Hex",(IF(INT(RIGHT(CONCATENATE(IF($C$2&lt;10,CONCATENATE("0",$C$2),$C$2),".","007"),3))&lt;($C$3+1),CONCATENATE(DEC2HEX($C$2),".","007"),"")))</f>
        <v/>
      </c>
      <c r="B12" s="7" t="s">
        <v>11</v>
      </c>
      <c r="C12" t="str">
        <f t="shared" si="0"/>
        <v/>
      </c>
      <c r="D12" s="6"/>
      <c r="E12" s="6" t="str">
        <f>IFERROR(VLOOKUP(D12,Lists!C:D,2,FALSE),"")</f>
        <v/>
      </c>
      <c r="F12" t="str">
        <f>IFERROR(VLOOKUP(D12,Lists!C:E,3,FALSE),"")</f>
        <v/>
      </c>
      <c r="G12" s="2"/>
    </row>
    <row r="13" spans="1:17" x14ac:dyDescent="0.25">
      <c r="A13" t="str" cm="1">
        <f t="array" ref="A13">_xlfn.IFS(C1="Decimal",(IF(INT(RIGHT(CONCATENATE(IF($C$2&lt;10,CONCATENATE("0",$C$2),$C$2),".","008"),3))&lt;($C$3+1),CONCATENATE(IF($C$2&lt;10,CONCATENATE("0",$C$2),$C$2),".","008"),"")),C1="Hex",(IF(INT(RIGHT(CONCATENATE(IF($C$2&lt;10,CONCATENATE("0",$C$2),$C$2),".","008"),3))&lt;($C$3+1),CONCATENATE(DEC2HEX($C$2),".","008"),"")))</f>
        <v/>
      </c>
      <c r="B13" s="7" t="s">
        <v>11</v>
      </c>
      <c r="C13" t="str">
        <f t="shared" si="0"/>
        <v/>
      </c>
      <c r="D13" s="6"/>
      <c r="E13" s="6" t="str">
        <f>IFERROR(VLOOKUP(D13,Lists!C:D,2,FALSE),"")</f>
        <v/>
      </c>
      <c r="F13" t="str">
        <f>IFERROR(VLOOKUP(D13,Lists!C:E,3,FALSE),"")</f>
        <v/>
      </c>
      <c r="G13" s="2"/>
    </row>
    <row r="14" spans="1:17" x14ac:dyDescent="0.25">
      <c r="A14" t="str" cm="1">
        <f t="array" ref="A14">_xlfn.IFS(C1="Decimal",(IF(INT(RIGHT(CONCATENATE(IF($C$2&lt;10,CONCATENATE("0",$C$2),$C$2),".","009"),3))&lt;($C$3+1),CONCATENATE(IF($C$2&lt;10,CONCATENATE("0",$C$2),$C$2),".","009"),"")),C1="Hex",(IF(INT(RIGHT(CONCATENATE(IF($C$2&lt;10,CONCATENATE("0",$C$2),$C$2),".","009"),3))&lt;($C$3+1),CONCATENATE(DEC2HEX($C$2),".","009"),"")))</f>
        <v/>
      </c>
      <c r="B14" s="7" t="s">
        <v>11</v>
      </c>
      <c r="C14" t="str">
        <f t="shared" si="0"/>
        <v/>
      </c>
      <c r="D14" s="6"/>
      <c r="E14" s="6" t="str">
        <f>IFERROR(VLOOKUP(D14,Lists!C:D,2,FALSE),"")</f>
        <v/>
      </c>
      <c r="F14" t="str">
        <f>IFERROR(VLOOKUP(D14,Lists!C:E,3,FALSE),"")</f>
        <v/>
      </c>
      <c r="G14" s="4"/>
    </row>
    <row r="15" spans="1:17" x14ac:dyDescent="0.25">
      <c r="A15" t="str" cm="1">
        <f t="array" ref="A15">_xlfn.IFS(C1="Decimal",(IF(INT(RIGHT(CONCATENATE(IF($C$2&lt;10,CONCATENATE("0",$C$2),$C$2),".","010"),3))&lt;($C$3+1),CONCATENATE(IF($C$2&lt;10,CONCATENATE("0",$C$2),$C$2),".","010"),"")),C1="Hex",(IF(INT(RIGHT(CONCATENATE(IF($C$2&lt;10,CONCATENATE("0",$C$2),$C$2),".","010"),3))&lt;($C$3+1),CONCATENATE(DEC2HEX($C$2),".","010"),"")))</f>
        <v/>
      </c>
      <c r="B15" s="7" t="s">
        <v>11</v>
      </c>
      <c r="C15" t="str">
        <f t="shared" si="0"/>
        <v/>
      </c>
      <c r="D15" s="6"/>
      <c r="E15" s="6" t="str">
        <f>IFERROR(VLOOKUP(D15,Lists!C:D,2,FALSE),"")</f>
        <v/>
      </c>
      <c r="F15" t="str">
        <f>IFERROR(VLOOKUP(D15,Lists!C:E,3,FALSE),"")</f>
        <v/>
      </c>
      <c r="G15" s="2"/>
    </row>
    <row r="16" spans="1:17" x14ac:dyDescent="0.25">
      <c r="A16" t="str" cm="1">
        <f t="array" ref="A16">_xlfn.IFS(C1="Decimal",(IF(INT(RIGHT(CONCATENATE(IF($C$2&lt;10,CONCATENATE("0",$C$2),$C$2),".","011"),3))&lt;($C$3+1),CONCATENATE(IF($C$2&lt;10,CONCATENATE("0",$C$2),$C$2),".","011"),"")),C1="Hex",(IF(INT(RIGHT(CONCATENATE(IF($C$2&lt;10,CONCATENATE("0",$C$2),$C$2),".","011"),3))&lt;($C$3+1),CONCATENATE(DEC2HEX($C$2),".","011"),"")))</f>
        <v/>
      </c>
      <c r="B16" s="7" t="s">
        <v>11</v>
      </c>
      <c r="C16" t="str">
        <f t="shared" si="0"/>
        <v/>
      </c>
      <c r="D16" s="6"/>
      <c r="E16" s="6" t="str">
        <f>IFERROR(VLOOKUP(D16,Lists!C:D,2,FALSE),"")</f>
        <v/>
      </c>
      <c r="F16" t="str">
        <f>IFERROR(VLOOKUP(D16,Lists!C:E,3,FALSE),"")</f>
        <v/>
      </c>
      <c r="G16" s="2"/>
    </row>
    <row r="17" spans="1:7" x14ac:dyDescent="0.25">
      <c r="A17" t="str" cm="1">
        <f t="array" ref="A17">_xlfn.IFS(C1="Decimal",(IF(INT(RIGHT(CONCATENATE(IF($C$2&lt;10,CONCATENATE("0",$C$2),$C$2),".","012"),3))&lt;($C$3+1),CONCATENATE(IF($C$2&lt;10,CONCATENATE("0",$C$2),$C$2),".","012"),"")),C1="Hex",(IF(INT(RIGHT(CONCATENATE(IF($C$2&lt;10,CONCATENATE("0",$C$2),$C$2),".","012"),3))&lt;($C$3+1),CONCATENATE(DEC2HEX($C$2),".","012"),"")))</f>
        <v/>
      </c>
      <c r="B17" s="7" t="s">
        <v>11</v>
      </c>
      <c r="C17" t="str">
        <f t="shared" si="0"/>
        <v/>
      </c>
      <c r="D17" s="6"/>
      <c r="E17" s="6" t="str">
        <f>IFERROR(VLOOKUP(D17,Lists!C:D,2,FALSE),"")</f>
        <v/>
      </c>
      <c r="F17" t="str">
        <f>IFERROR(VLOOKUP(D17,Lists!C:E,3,FALSE),"")</f>
        <v/>
      </c>
      <c r="G17" s="2"/>
    </row>
    <row r="18" spans="1:7" x14ac:dyDescent="0.25">
      <c r="A18" t="str" cm="1">
        <f t="array" ref="A18">_xlfn.IFS(C1="Decimal",(IF(INT(RIGHT(CONCATENATE(IF($C$2&lt;10,CONCATENATE("0",$C$2),$C$2),".","013"),3))&lt;($C$3+1),CONCATENATE(IF($C$2&lt;10,CONCATENATE("0",$C$2),$C$2),".","013"),"")),C1="Hex",(IF(INT(RIGHT(CONCATENATE(IF($C$2&lt;10,CONCATENATE("0",$C$2),$C$2),".","013"),3))&lt;($C$3+1),CONCATENATE(DEC2HEX($C$2),".","013"),"")))</f>
        <v/>
      </c>
      <c r="B18" s="7" t="s">
        <v>11</v>
      </c>
      <c r="C18" t="str">
        <f t="shared" si="0"/>
        <v/>
      </c>
      <c r="D18" s="6"/>
      <c r="E18" s="6" t="str">
        <f>IFERROR(VLOOKUP(D18,Lists!C:D,2,FALSE),"")</f>
        <v/>
      </c>
      <c r="F18" t="str">
        <f>IFERROR(VLOOKUP(D18,Lists!C:E,3,FALSE),"")</f>
        <v/>
      </c>
      <c r="G18" s="4"/>
    </row>
    <row r="19" spans="1:7" x14ac:dyDescent="0.25">
      <c r="A19" t="str" cm="1">
        <f t="array" ref="A19">_xlfn.IFS(C1="Decimal",(IF(INT(RIGHT(CONCATENATE(IF($C$2&lt;10,CONCATENATE("0",$C$2),$C$2),".","014"),3))&lt;($C$3+1),CONCATENATE(IF($C$2&lt;10,CONCATENATE("0",$C$2),$C$2),".","014"),"")),C1="Hex",(IF(INT(RIGHT(CONCATENATE(IF($C$2&lt;10,CONCATENATE("0",$C$2),$C$2),".","014"),3))&lt;($C$3+1),CONCATENATE(DEC2HEX($C$2),".","014"),"")))</f>
        <v/>
      </c>
      <c r="B19" s="7" t="s">
        <v>11</v>
      </c>
      <c r="C19" t="str">
        <f t="shared" si="0"/>
        <v/>
      </c>
      <c r="D19" s="6"/>
      <c r="E19" s="6" t="str">
        <f>IFERROR(VLOOKUP(D19,Lists!C:D,2,FALSE),"")</f>
        <v/>
      </c>
      <c r="F19" t="str">
        <f>IFERROR(VLOOKUP(D19,Lists!C:E,3,FALSE),"")</f>
        <v/>
      </c>
      <c r="G19" s="2"/>
    </row>
    <row r="20" spans="1:7" x14ac:dyDescent="0.25">
      <c r="A20" t="str" cm="1">
        <f t="array" ref="A20">_xlfn.IFS(C1="Decimal",(IF(INT(RIGHT(CONCATENATE(IF($C$2&lt;10,CONCATENATE("0",$C$2),$C$2),".","015"),3))&lt;($C$3+1),CONCATENATE(IF($C$2&lt;10,CONCATENATE("0",$C$2),$C$2),".","015"),"")),C1="Hex",(IF(INT(RIGHT(CONCATENATE(IF($C$2&lt;10,CONCATENATE("0",$C$2),$C$2),".","015"),3))&lt;($C$3+1),CONCATENATE(DEC2HEX($C$2),".","015"),"")))</f>
        <v/>
      </c>
      <c r="B20" s="7" t="s">
        <v>11</v>
      </c>
      <c r="C20" t="str">
        <f t="shared" si="0"/>
        <v/>
      </c>
      <c r="D20" s="6"/>
      <c r="E20" s="6" t="str">
        <f>IFERROR(VLOOKUP(D20,Lists!C:D,2,FALSE),"")</f>
        <v/>
      </c>
      <c r="F20" t="str">
        <f>IFERROR(VLOOKUP(D20,Lists!C:E,3,FALSE),"")</f>
        <v/>
      </c>
      <c r="G20" s="2"/>
    </row>
    <row r="21" spans="1:7" x14ac:dyDescent="0.25">
      <c r="A21" t="str" cm="1">
        <f t="array" ref="A21">_xlfn.IFS(C1="Decimal",(IF(INT(RIGHT(CONCATENATE(IF($C$2&lt;10,CONCATENATE("0",$C$2),$C$2),".","016"),3))&lt;($C$3+1),CONCATENATE(IF($C$2&lt;10,CONCATENATE("0",$C$2),$C$2),".","016"),"")),C1="Hex",(IF(INT(RIGHT(CONCATENATE(IF($C$2&lt;10,CONCATENATE("0",$C$2),$C$2),".","016"),3))&lt;($C$3+1),CONCATENATE(DEC2HEX($C$2),".","016"),"")))</f>
        <v/>
      </c>
      <c r="B21" s="7" t="s">
        <v>11</v>
      </c>
      <c r="C21" t="str">
        <f t="shared" si="0"/>
        <v/>
      </c>
      <c r="D21" s="6"/>
      <c r="E21" s="6" t="str">
        <f>IFERROR(VLOOKUP(D21,Lists!C:D,2,FALSE),"")</f>
        <v/>
      </c>
      <c r="F21" t="str">
        <f>IFERROR(VLOOKUP(D21,Lists!C:E,3,FALSE),"")</f>
        <v/>
      </c>
      <c r="G21" s="2"/>
    </row>
    <row r="22" spans="1:7" x14ac:dyDescent="0.25">
      <c r="A22" t="str" cm="1">
        <f t="array" ref="A22">_xlfn.IFS(C1="Decimal",(IF(INT(RIGHT(CONCATENATE(IF($C$2&lt;10,CONCATENATE("0",$C$2),$C$2),".","017"),3))&lt;($C$3+1),CONCATENATE(IF($C$2&lt;10,CONCATENATE("0",$C$2),$C$2),".","017"),"")),C1="Hex",(IF(INT(RIGHT(CONCATENATE(IF($C$2&lt;10,CONCATENATE("0",$C$2),$C$2),".","017"),3))&lt;($C$3+1),CONCATENATE(DEC2HEX($C$2),".","017"),"")))</f>
        <v/>
      </c>
      <c r="B22" s="7" t="s">
        <v>11</v>
      </c>
      <c r="C22" t="str">
        <f t="shared" si="0"/>
        <v/>
      </c>
      <c r="D22" s="6"/>
      <c r="E22" s="6" t="str">
        <f>IFERROR(VLOOKUP(D22,Lists!C:D,2,FALSE),"")</f>
        <v/>
      </c>
      <c r="F22" t="str">
        <f>IFERROR(VLOOKUP(D22,Lists!C:E,3,FALSE),"")</f>
        <v/>
      </c>
      <c r="G22" s="4"/>
    </row>
    <row r="23" spans="1:7" x14ac:dyDescent="0.25">
      <c r="A23" t="str" cm="1">
        <f t="array" ref="A23">_xlfn.IFS(C1="Decimal",(IF(INT(RIGHT(CONCATENATE(IF($C$2&lt;10,CONCATENATE("0",$C$2),$C$2),".","018"),3))&lt;($C$3+1),CONCATENATE(IF($C$2&lt;10,CONCATENATE("0",$C$2),$C$2),".","018"),"")),C1="Hex",(IF(INT(RIGHT(CONCATENATE(IF($C$2&lt;10,CONCATENATE("0",$C$2),$C$2),".","018"),3))&lt;($C$3+1),CONCATENATE(DEC2HEX($C$2),".","018"),"")))</f>
        <v/>
      </c>
      <c r="B23" s="7" t="s">
        <v>11</v>
      </c>
      <c r="C23" t="str">
        <f t="shared" si="0"/>
        <v/>
      </c>
      <c r="D23" s="6"/>
      <c r="E23" s="6" t="str">
        <f>IFERROR(VLOOKUP(D23,Lists!C:D,2,FALSE),"")</f>
        <v/>
      </c>
      <c r="F23" t="str">
        <f>IFERROR(VLOOKUP(D23,Lists!C:E,3,FALSE),"")</f>
        <v/>
      </c>
      <c r="G23" s="2"/>
    </row>
    <row r="24" spans="1:7" x14ac:dyDescent="0.25">
      <c r="A24" t="str" cm="1">
        <f t="array" ref="A24">_xlfn.IFS(C1="Decimal",(IF(INT(RIGHT(CONCATENATE(IF($C$2&lt;10,CONCATENATE("0",$C$2),$C$2),".","019"),3))&lt;($C$3+1),CONCATENATE(IF($C$2&lt;10,CONCATENATE("0",$C$2),$C$2),".","019"),"")),C1="Hex",(IF(INT(RIGHT(CONCATENATE(IF($C$2&lt;10,CONCATENATE("0",$C$2),$C$2),".","019"),3))&lt;($C$3+1),CONCATENATE(DEC2HEX($C$2),".","019"),"")))</f>
        <v/>
      </c>
      <c r="B24" s="7" t="s">
        <v>11</v>
      </c>
      <c r="C24" t="str">
        <f t="shared" si="0"/>
        <v/>
      </c>
      <c r="D24" s="6"/>
      <c r="E24" s="6" t="str">
        <f>IFERROR(VLOOKUP(D24,Lists!C:D,2,FALSE),"")</f>
        <v/>
      </c>
      <c r="F24" t="str">
        <f>IFERROR(VLOOKUP(D24,Lists!C:E,3,FALSE),"")</f>
        <v/>
      </c>
      <c r="G24" s="2"/>
    </row>
    <row r="25" spans="1:7" x14ac:dyDescent="0.25">
      <c r="A25" t="str" cm="1">
        <f t="array" ref="A25">_xlfn.IFS(C1="Decimal",(IF(INT(RIGHT(CONCATENATE(IF($C$2&lt;10,CONCATENATE("0",$C$2),$C$2),".","020"),3))&lt;($C$3+1),CONCATENATE(IF($C$2&lt;10,CONCATENATE("0",$C$2),$C$2),".","020"),"")),C1="Hex",(IF(INT(RIGHT(CONCATENATE(IF($C$2&lt;10,CONCATENATE("0",$C$2),$C$2),".","020"),3))&lt;($C$3+1),CONCATENATE(DEC2HEX($C$2),".","020"),"")))</f>
        <v/>
      </c>
      <c r="B25" s="7" t="s">
        <v>11</v>
      </c>
      <c r="C25" t="str">
        <f t="shared" si="0"/>
        <v/>
      </c>
      <c r="D25" s="6"/>
      <c r="E25" s="6" t="str">
        <f>IFERROR(VLOOKUP(D25,Lists!C:D,2,FALSE),"")</f>
        <v/>
      </c>
      <c r="F25" t="str">
        <f>IFERROR(VLOOKUP(D25,Lists!C:E,3,FALSE),"")</f>
        <v/>
      </c>
      <c r="G25" s="2"/>
    </row>
    <row r="26" spans="1:7" x14ac:dyDescent="0.25">
      <c r="A26" t="str" cm="1">
        <f t="array" ref="A26">_xlfn.IFS(C1="Decimal",(IF(INT(RIGHT(CONCATENATE(IF($C$2&lt;10,CONCATENATE("0",$C$2),$C$2),".","021"),3))&lt;($C$3+1),CONCATENATE(IF($C$2&lt;10,CONCATENATE("0",$C$2),$C$2),".","021"),"")),C1="Hex",(IF(INT(RIGHT(CONCATENATE(IF($C$2&lt;10,CONCATENATE("0",$C$2),$C$2),".","021"),3))&lt;($C$3+1),CONCATENATE(DEC2HEX($C$2),".","021"),"")))</f>
        <v/>
      </c>
      <c r="B26" s="7" t="s">
        <v>11</v>
      </c>
      <c r="C26" t="str">
        <f t="shared" si="0"/>
        <v/>
      </c>
      <c r="D26" s="6"/>
      <c r="E26" s="6" t="str">
        <f>IFERROR(VLOOKUP(D26,Lists!C:D,2,FALSE),"")</f>
        <v/>
      </c>
      <c r="F26" t="str">
        <f>IFERROR(VLOOKUP(D26,Lists!C:E,3,FALSE),"")</f>
        <v/>
      </c>
      <c r="G26" s="4"/>
    </row>
    <row r="27" spans="1:7" x14ac:dyDescent="0.25">
      <c r="A27" t="str" cm="1">
        <f t="array" ref="A27">_xlfn.IFS(C1="Decimal",(IF(INT(RIGHT(CONCATENATE(IF($C$2&lt;10,CONCATENATE("0",$C$2),$C$2),".","022"),3))&lt;($C$3+1),CONCATENATE(IF($C$2&lt;10,CONCATENATE("0",$C$2),$C$2),".","022"),"")),C1="Hex",(IF(INT(RIGHT(CONCATENATE(IF($C$2&lt;10,CONCATENATE("0",$C$2),$C$2),".","022"),3))&lt;($C$3+1),CONCATENATE(DEC2HEX($C$2),".","022"),"")))</f>
        <v/>
      </c>
      <c r="B27" s="7" t="s">
        <v>11</v>
      </c>
      <c r="C27" t="str">
        <f t="shared" si="0"/>
        <v/>
      </c>
      <c r="D27" s="6"/>
      <c r="E27" s="6" t="str">
        <f>IFERROR(VLOOKUP(D27,Lists!C:D,2,FALSE),"")</f>
        <v/>
      </c>
      <c r="F27" t="str">
        <f>IFERROR(VLOOKUP(D27,Lists!C:E,3,FALSE),"")</f>
        <v/>
      </c>
      <c r="G27" s="2"/>
    </row>
    <row r="28" spans="1:7" x14ac:dyDescent="0.25">
      <c r="A28" t="str" cm="1">
        <f t="array" ref="A28">_xlfn.IFS(C1="Decimal",(IF(INT(RIGHT(CONCATENATE(IF($C$2&lt;10,CONCATENATE("0",$C$2),$C$2),".","023"),3))&lt;($C$3+1),CONCATENATE(IF($C$2&lt;10,CONCATENATE("0",$C$2),$C$2),".","023"),"")),C1="Hex",(IF(INT(RIGHT(CONCATENATE(IF($C$2&lt;10,CONCATENATE("0",$C$2),$C$2),".","023"),3))&lt;($C$3+1),CONCATENATE(DEC2HEX($C$2),".","023"),"")))</f>
        <v/>
      </c>
      <c r="B28" s="7" t="s">
        <v>11</v>
      </c>
      <c r="C28" t="str">
        <f t="shared" si="0"/>
        <v/>
      </c>
      <c r="D28" s="6"/>
      <c r="E28" s="6" t="str">
        <f>IFERROR(VLOOKUP(D28,Lists!C:D,2,FALSE),"")</f>
        <v/>
      </c>
      <c r="F28" t="str">
        <f>IFERROR(VLOOKUP(D28,Lists!C:E,3,FALSE),"")</f>
        <v/>
      </c>
      <c r="G28" s="2"/>
    </row>
    <row r="29" spans="1:7" x14ac:dyDescent="0.25">
      <c r="A29" t="str" cm="1">
        <f t="array" ref="A29">_xlfn.IFS(C1="Decimal",(IF(INT(RIGHT(CONCATENATE(IF($C$2&lt;10,CONCATENATE("0",$C$2),$C$2),".","024"),3))&lt;($C$3+1),CONCATENATE(IF($C$2&lt;10,CONCATENATE("0",$C$2),$C$2),".","024"),"")),C1="Hex",(IF(INT(RIGHT(CONCATENATE(IF($C$2&lt;10,CONCATENATE("0",$C$2),$C$2),".","024"),3))&lt;($C$3+1),CONCATENATE(DEC2HEX($C$2),".","024"),"")))</f>
        <v/>
      </c>
      <c r="B29" s="7" t="s">
        <v>11</v>
      </c>
      <c r="C29" t="str">
        <f t="shared" si="0"/>
        <v/>
      </c>
      <c r="D29" s="6"/>
      <c r="E29" s="6" t="str">
        <f>IFERROR(VLOOKUP(D29,Lists!C:D,2,FALSE),"")</f>
        <v/>
      </c>
      <c r="F29" t="str">
        <f>IFERROR(VLOOKUP(D29,Lists!C:E,3,FALSE),"")</f>
        <v/>
      </c>
      <c r="G29" s="2"/>
    </row>
    <row r="30" spans="1:7" x14ac:dyDescent="0.25">
      <c r="A30" t="str" cm="1">
        <f t="array" ref="A30">_xlfn.IFS(C1="Decimal",(IF(INT(RIGHT(CONCATENATE(IF($C$2&lt;10,CONCATENATE("0",$C$2),$C$2),".","025"),3))&lt;($C$3+1),CONCATENATE(IF($C$2&lt;10,CONCATENATE("0",$C$2),$C$2),".","025"),"")),C1="Hex",(IF(INT(RIGHT(CONCATENATE(IF($C$2&lt;10,CONCATENATE("0",$C$2),$C$2),".","025"),3))&lt;($C$3+1),CONCATENATE(DEC2HEX($C$2),".","025"),"")))</f>
        <v/>
      </c>
      <c r="B30" s="7" t="s">
        <v>11</v>
      </c>
      <c r="C30" t="str">
        <f t="shared" si="0"/>
        <v/>
      </c>
      <c r="D30" s="6"/>
      <c r="E30" s="6" t="str">
        <f>IFERROR(VLOOKUP(D30,Lists!C:D,2,FALSE),"")</f>
        <v/>
      </c>
      <c r="F30" t="str">
        <f>IFERROR(VLOOKUP(D30,Lists!C:E,3,FALSE),"")</f>
        <v/>
      </c>
      <c r="G30" s="4"/>
    </row>
    <row r="31" spans="1:7" x14ac:dyDescent="0.25">
      <c r="A31" t="str" cm="1">
        <f t="array" ref="A31">_xlfn.IFS(C1="Decimal",(IF(INT(RIGHT(CONCATENATE(IF($C$2&lt;10,CONCATENATE("0",$C$2),$C$2),".","026"),3))&lt;($C$3+1),CONCATENATE(IF($C$2&lt;10,CONCATENATE("0",$C$2),$C$2),".","026"),"")),C1="Hex",(IF(INT(RIGHT(CONCATENATE(IF($C$2&lt;10,CONCATENATE("0",$C$2),$C$2),".","026"),3))&lt;($C$3+1),CONCATENATE(DEC2HEX($C$2),".","026"),"")))</f>
        <v/>
      </c>
      <c r="B31" s="7" t="s">
        <v>11</v>
      </c>
      <c r="C31" t="str">
        <f t="shared" si="0"/>
        <v/>
      </c>
      <c r="D31" s="6"/>
      <c r="E31" s="6" t="str">
        <f>IFERROR(VLOOKUP(D31,Lists!C:D,2,FALSE),"")</f>
        <v/>
      </c>
      <c r="F31" t="str">
        <f>IFERROR(VLOOKUP(D31,Lists!C:E,3,FALSE),"")</f>
        <v/>
      </c>
      <c r="G31" s="2"/>
    </row>
    <row r="32" spans="1:7" x14ac:dyDescent="0.25">
      <c r="A32" t="str" cm="1">
        <f t="array" ref="A32">_xlfn.IFS(C1="Decimal",(IF(INT(RIGHT(CONCATENATE(IF($C$2&lt;10,CONCATENATE("0",$C$2),$C$2),".","027"),3))&lt;($C$3+1),CONCATENATE(IF($C$2&lt;10,CONCATENATE("0",$C$2),$C$2),".","027"),"")),C1="Hex",(IF(INT(RIGHT(CONCATENATE(IF($C$2&lt;10,CONCATENATE("0",$C$2),$C$2),".","027"),3))&lt;($C$3+1),CONCATENATE(DEC2HEX($C$2),".","027"),"")))</f>
        <v/>
      </c>
      <c r="B32" s="7" t="s">
        <v>11</v>
      </c>
      <c r="C32" t="str">
        <f t="shared" si="0"/>
        <v/>
      </c>
      <c r="D32" s="6"/>
      <c r="E32" s="6" t="str">
        <f>IFERROR(VLOOKUP(D32,Lists!C:D,2,FALSE),"")</f>
        <v/>
      </c>
      <c r="F32" t="str">
        <f>IFERROR(VLOOKUP(D32,Lists!C:E,3,FALSE),"")</f>
        <v/>
      </c>
      <c r="G32" s="2"/>
    </row>
    <row r="33" spans="1:7" x14ac:dyDescent="0.25">
      <c r="A33" t="str" cm="1">
        <f t="array" ref="A33">_xlfn.IFS(C1="Decimal",(IF(INT(RIGHT(CONCATENATE(IF($C$2&lt;10,CONCATENATE("0",$C$2),$C$2),".","028"),3))&lt;($C$3+1),CONCATENATE(IF($C$2&lt;10,CONCATENATE("0",$C$2),$C$2),".","028"),"")),C1="Hex",(IF(INT(RIGHT(CONCATENATE(IF($C$2&lt;10,CONCATENATE("0",$C$2),$C$2),".","028"),3))&lt;($C$3+1),CONCATENATE(DEC2HEX($C$2),".","028"),"")))</f>
        <v/>
      </c>
      <c r="B33" s="7" t="s">
        <v>11</v>
      </c>
      <c r="C33" t="str">
        <f t="shared" si="0"/>
        <v/>
      </c>
      <c r="D33" s="6"/>
      <c r="E33" s="6" t="str">
        <f>IFERROR(VLOOKUP(D33,Lists!C:D,2,FALSE),"")</f>
        <v/>
      </c>
      <c r="F33" t="str">
        <f>IFERROR(VLOOKUP(D33,Lists!C:E,3,FALSE),"")</f>
        <v/>
      </c>
      <c r="G33" s="2"/>
    </row>
    <row r="34" spans="1:7" x14ac:dyDescent="0.25">
      <c r="A34" t="str" cm="1">
        <f t="array" ref="A34">_xlfn.IFS(C1="Decimal",(IF(INT(RIGHT(CONCATENATE(IF($C$2&lt;10,CONCATENATE("0",$C$2),$C$2),".","029"),3))&lt;($C$3+1),CONCATENATE(IF($C$2&lt;10,CONCATENATE("0",$C$2),$C$2),".","029"),"")),C1="Hex",(IF(INT(RIGHT(CONCATENATE(IF($C$2&lt;10,CONCATENATE("0",$C$2),$C$2),".","029"),3))&lt;($C$3+1),CONCATENATE(DEC2HEX($C$2),".","029"),"")))</f>
        <v/>
      </c>
      <c r="B34" s="7" t="s">
        <v>11</v>
      </c>
      <c r="C34" t="str">
        <f t="shared" si="0"/>
        <v/>
      </c>
      <c r="D34" s="6"/>
      <c r="E34" s="6" t="str">
        <f>IFERROR(VLOOKUP(D34,Lists!C:D,2,FALSE),"")</f>
        <v/>
      </c>
      <c r="F34" t="str">
        <f>IFERROR(VLOOKUP(D34,Lists!C:E,3,FALSE),"")</f>
        <v/>
      </c>
      <c r="G34" s="4"/>
    </row>
    <row r="35" spans="1:7" x14ac:dyDescent="0.25">
      <c r="A35" t="str" cm="1">
        <f t="array" ref="A35">_xlfn.IFS(C1="Decimal",(IF(INT(RIGHT(CONCATENATE(IF($C$2&lt;10,CONCATENATE("0",$C$2),$C$2),".","030"),3))&lt;($C$3+1),CONCATENATE(IF($C$2&lt;10,CONCATENATE("0",$C$2),$C$2),".","030"),"")),C1="Hex",(IF(INT(RIGHT(CONCATENATE(IF($C$2&lt;10,CONCATENATE("0",$C$2),$C$2),".","030"),3))&lt;($C$3+1),CONCATENATE(DEC2HEX($C$2),".","030"),"")))</f>
        <v/>
      </c>
      <c r="B35" s="7" t="s">
        <v>11</v>
      </c>
      <c r="C35" t="str">
        <f t="shared" si="0"/>
        <v/>
      </c>
      <c r="D35" s="6"/>
      <c r="E35" s="6" t="str">
        <f>IFERROR(VLOOKUP(D35,Lists!C:D,2,FALSE),"")</f>
        <v/>
      </c>
      <c r="F35" t="str">
        <f>IFERROR(VLOOKUP(D35,Lists!C:E,3,FALSE),"")</f>
        <v/>
      </c>
      <c r="G35" s="2"/>
    </row>
    <row r="36" spans="1:7" x14ac:dyDescent="0.25">
      <c r="A36" t="str" cm="1">
        <f t="array" ref="A36">_xlfn.IFS(C1="Decimal",(IF(INT(RIGHT(CONCATENATE(IF($C$2&lt;10,CONCATENATE("0",$C$2),$C$2),".","031"),3))&lt;($C$3+1),CONCATENATE(IF($C$2&lt;10,CONCATENATE("0",$C$2),$C$2),".","031"),"")),C1="Hex",(IF(INT(RIGHT(CONCATENATE(IF($C$2&lt;10,CONCATENATE("0",$C$2),$C$2),".","031"),3))&lt;($C$3+1),CONCATENATE(DEC2HEX($C$2),".","031"),"")))</f>
        <v/>
      </c>
      <c r="B36" s="7" t="s">
        <v>11</v>
      </c>
      <c r="C36" t="str">
        <f t="shared" si="0"/>
        <v/>
      </c>
      <c r="D36" s="6"/>
      <c r="E36" s="6" t="str">
        <f>IFERROR(VLOOKUP(D36,Lists!C:D,2,FALSE),"")</f>
        <v/>
      </c>
      <c r="F36" t="str">
        <f>IFERROR(VLOOKUP(D36,Lists!C:E,3,FALSE),"")</f>
        <v/>
      </c>
      <c r="G36" s="2"/>
    </row>
    <row r="37" spans="1:7" x14ac:dyDescent="0.25">
      <c r="A37" t="str" cm="1">
        <f t="array" ref="A37">_xlfn.IFS(C1="Decimal",(IF(INT(RIGHT(CONCATENATE(IF($C$2&lt;10,CONCATENATE("0",$C$2),$C$2),".","032"),3))&lt;($C$3+1),CONCATENATE(IF($C$2&lt;10,CONCATENATE("0",$C$2),$C$2),".","032"),"")),C1="Hex",(IF(INT(RIGHT(CONCATENATE(IF($C$2&lt;10,CONCATENATE("0",$C$2),$C$2),".","032"),3))&lt;($C$3+1),CONCATENATE(DEC2HEX($C$2),".","032"),"")))</f>
        <v/>
      </c>
      <c r="B37" s="7" t="s">
        <v>11</v>
      </c>
      <c r="C37" t="str">
        <f t="shared" si="0"/>
        <v/>
      </c>
      <c r="D37" s="6"/>
      <c r="E37" s="6" t="str">
        <f>IFERROR(VLOOKUP(D37,Lists!C:D,2,FALSE),"")</f>
        <v/>
      </c>
      <c r="F37" t="str">
        <f>IFERROR(VLOOKUP(D37,Lists!C:E,3,FALSE),"")</f>
        <v/>
      </c>
      <c r="G37" s="2"/>
    </row>
    <row r="38" spans="1:7" x14ac:dyDescent="0.25">
      <c r="A38" t="str" cm="1">
        <f t="array" ref="A38">_xlfn.IFS(C1="Decimal",(IF(INT(RIGHT(CONCATENATE(IF($C$2&lt;10,CONCATENATE("0",$C$2),$C$2),".","033"),3))&lt;($C$3+1),CONCATENATE(IF($C$2&lt;10,CONCATENATE("0",$C$2),$C$2),".","033"),"")),C1="Hex",(IF(INT(RIGHT(CONCATENATE(IF($C$2&lt;10,CONCATENATE("0",$C$2),$C$2),".","033"),3))&lt;($C$3+1),CONCATENATE(DEC2HEX($C$2),".","033"),"")))</f>
        <v/>
      </c>
      <c r="B38" s="7" t="s">
        <v>11</v>
      </c>
      <c r="C38" t="str">
        <f t="shared" si="0"/>
        <v/>
      </c>
      <c r="D38" s="6"/>
      <c r="E38" s="6" t="str">
        <f>IFERROR(VLOOKUP(D38,Lists!C:D,2,FALSE),"")</f>
        <v/>
      </c>
      <c r="F38" t="str">
        <f>IFERROR(VLOOKUP(D38,Lists!C:E,3,FALSE),"")</f>
        <v/>
      </c>
      <c r="G38" s="4"/>
    </row>
    <row r="39" spans="1:7" x14ac:dyDescent="0.25">
      <c r="A39" t="str" cm="1">
        <f t="array" ref="A39">_xlfn.IFS(C1="Decimal",(IF(INT(RIGHT(CONCATENATE(IF($C$2&lt;10,CONCATENATE("0",$C$2),$C$2),".","034"),3))&lt;($C$3+1),CONCATENATE(IF($C$2&lt;10,CONCATENATE("0",$C$2),$C$2),".","034"),"")),C1="Hex",(IF(INT(RIGHT(CONCATENATE(IF($C$2&lt;10,CONCATENATE("0",$C$2),$C$2),".","034"),3))&lt;($C$3+1),CONCATENATE(DEC2HEX($C$2),".","034"),"")))</f>
        <v/>
      </c>
      <c r="B39" s="7" t="s">
        <v>11</v>
      </c>
      <c r="C39" t="str">
        <f t="shared" si="0"/>
        <v/>
      </c>
      <c r="D39" s="6"/>
      <c r="E39" s="6" t="str">
        <f>IFERROR(VLOOKUP(D39,Lists!C:D,2,FALSE),"")</f>
        <v/>
      </c>
      <c r="F39" t="str">
        <f>IFERROR(VLOOKUP(D39,Lists!C:E,3,FALSE),"")</f>
        <v/>
      </c>
      <c r="G39" s="2"/>
    </row>
    <row r="40" spans="1:7" x14ac:dyDescent="0.25">
      <c r="A40" t="str" cm="1">
        <f t="array" ref="A40">_xlfn.IFS(C1="Decimal",(IF(INT(RIGHT(CONCATENATE(IF($C$2&lt;10,CONCATENATE("0",$C$2),$C$2),".","035"),3))&lt;($C$3+1),CONCATENATE(IF($C$2&lt;10,CONCATENATE("0",$C$2),$C$2),".","035"),"")),C1="Hex",(IF(INT(RIGHT(CONCATENATE(IF($C$2&lt;10,CONCATENATE("0",$C$2),$C$2),".","035"),3))&lt;($C$3+1),CONCATENATE(DEC2HEX($C$2),".","035"),"")))</f>
        <v/>
      </c>
      <c r="B40" s="7" t="s">
        <v>11</v>
      </c>
      <c r="C40" t="str">
        <f t="shared" si="0"/>
        <v/>
      </c>
      <c r="D40" s="6"/>
      <c r="E40" s="6" t="str">
        <f>IFERROR(VLOOKUP(D40,Lists!C:D,2,FALSE),"")</f>
        <v/>
      </c>
      <c r="F40" t="str">
        <f>IFERROR(VLOOKUP(D40,Lists!C:E,3,FALSE),"")</f>
        <v/>
      </c>
      <c r="G40" s="2"/>
    </row>
    <row r="41" spans="1:7" x14ac:dyDescent="0.25">
      <c r="A41" t="str" cm="1">
        <f t="array" ref="A41">_xlfn.IFS(C1="Decimal",(IF(INT(RIGHT(CONCATENATE(IF($C$2&lt;10,CONCATENATE("0",$C$2),$C$2),".","036"),3))&lt;($C$3+1),CONCATENATE(IF($C$2&lt;10,CONCATENATE("0",$C$2),$C$2),".","036"),"")),C1="Hex",(IF(INT(RIGHT(CONCATENATE(IF($C$2&lt;10,CONCATENATE("0",$C$2),$C$2),".","036"),3))&lt;($C$3+1),CONCATENATE(DEC2HEX($C$2),".","036"),"")))</f>
        <v/>
      </c>
      <c r="B41" s="7" t="s">
        <v>11</v>
      </c>
      <c r="C41" t="str">
        <f t="shared" si="0"/>
        <v/>
      </c>
      <c r="D41" s="6"/>
      <c r="E41" s="6" t="str">
        <f>IFERROR(VLOOKUP(D41,Lists!C:D,2,FALSE),"")</f>
        <v/>
      </c>
      <c r="F41" t="str">
        <f>IFERROR(VLOOKUP(D41,Lists!C:E,3,FALSE),"")</f>
        <v/>
      </c>
      <c r="G41" s="2"/>
    </row>
    <row r="42" spans="1:7" x14ac:dyDescent="0.25">
      <c r="A42" t="str" cm="1">
        <f t="array" ref="A42">_xlfn.IFS(C1="Decimal",(IF(INT(RIGHT(CONCATENATE(IF($C$2&lt;10,CONCATENATE("0",$C$2),$C$2),".","037"),3))&lt;($C$3+1),CONCATENATE(IF($C$2&lt;10,CONCATENATE("0",$C$2),$C$2),".","037"),"")),C1="Hex",(IF(INT(RIGHT(CONCATENATE(IF($C$2&lt;10,CONCATENATE("0",$C$2),$C$2),".","037"),3))&lt;($C$3+1),CONCATENATE(DEC2HEX($C$2),".","037"),"")))</f>
        <v/>
      </c>
      <c r="B42" s="7" t="s">
        <v>11</v>
      </c>
      <c r="C42" t="str">
        <f t="shared" si="0"/>
        <v/>
      </c>
      <c r="D42" s="6"/>
      <c r="E42" s="6" t="str">
        <f>IFERROR(VLOOKUP(D42,Lists!C:D,2,FALSE),"")</f>
        <v/>
      </c>
      <c r="F42" t="str">
        <f>IFERROR(VLOOKUP(D42,Lists!C:E,3,FALSE),"")</f>
        <v/>
      </c>
      <c r="G42" s="4"/>
    </row>
    <row r="43" spans="1:7" x14ac:dyDescent="0.25">
      <c r="A43" t="str" cm="1">
        <f t="array" ref="A43">_xlfn.IFS(C1="Decimal",(IF(INT(RIGHT(CONCATENATE(IF($C$2&lt;10,CONCATENATE("0",$C$2),$C$2),".","038"),3))&lt;($C$3+1),CONCATENATE(IF($C$2&lt;10,CONCATENATE("0",$C$2),$C$2),".","038"),"")),C1="Hex",(IF(INT(RIGHT(CONCATENATE(IF($C$2&lt;10,CONCATENATE("0",$C$2),$C$2),".","038"),3))&lt;($C$3+1),CONCATENATE(DEC2HEX($C$2),".","038"),"")))</f>
        <v/>
      </c>
      <c r="B43" s="7" t="s">
        <v>11</v>
      </c>
      <c r="C43" t="str">
        <f t="shared" si="0"/>
        <v/>
      </c>
      <c r="D43" s="6"/>
      <c r="E43" s="6" t="str">
        <f>IFERROR(VLOOKUP(D43,Lists!C:D,2,FALSE),"")</f>
        <v/>
      </c>
      <c r="F43" t="str">
        <f>IFERROR(VLOOKUP(D43,Lists!C:E,3,FALSE),"")</f>
        <v/>
      </c>
      <c r="G43" s="2"/>
    </row>
    <row r="44" spans="1:7" x14ac:dyDescent="0.25">
      <c r="A44" t="str" cm="1">
        <f t="array" ref="A44">_xlfn.IFS(C1="Decimal",(IF(INT(RIGHT(CONCATENATE(IF($C$2&lt;10,CONCATENATE("0",$C$2),$C$2),".","039"),3))&lt;($C$3+1),CONCATENATE(IF($C$2&lt;10,CONCATENATE("0",$C$2),$C$2),".","039"),"")),C1="Hex",(IF(INT(RIGHT(CONCATENATE(IF($C$2&lt;10,CONCATENATE("0",$C$2),$C$2),".","039"),3))&lt;($C$3+1),CONCATENATE(DEC2HEX($C$2),".","039"),"")))</f>
        <v/>
      </c>
      <c r="B44" s="7" t="s">
        <v>11</v>
      </c>
      <c r="C44" t="str">
        <f t="shared" si="0"/>
        <v/>
      </c>
      <c r="D44" s="6"/>
      <c r="E44" s="6" t="str">
        <f>IFERROR(VLOOKUP(D44,Lists!C:D,2,FALSE),"")</f>
        <v/>
      </c>
      <c r="F44" t="str">
        <f>IFERROR(VLOOKUP(D44,Lists!C:E,3,FALSE),"")</f>
        <v/>
      </c>
      <c r="G44" s="2"/>
    </row>
    <row r="45" spans="1:7" x14ac:dyDescent="0.25">
      <c r="A45" t="str" cm="1">
        <f t="array" ref="A45">_xlfn.IFS(C1="Decimal",(IF(INT(RIGHT(CONCATENATE(IF($C$2&lt;10,CONCATENATE("0",$C$2),$C$2),".","040"),3))&lt;($C$3+1),CONCATENATE(IF($C$2&lt;10,CONCATENATE("0",$C$2),$C$2),".","040"),"")),C1="Hex",(IF(INT(RIGHT(CONCATENATE(IF($C$2&lt;10,CONCATENATE("0",$C$2),$C$2),".","040"),3))&lt;($C$3+1),CONCATENATE(DEC2HEX($C$2),".","040"),"")))</f>
        <v/>
      </c>
      <c r="B45" s="7" t="s">
        <v>11</v>
      </c>
      <c r="C45" t="str">
        <f t="shared" si="0"/>
        <v/>
      </c>
      <c r="D45" s="6"/>
      <c r="E45" s="6" t="str">
        <f>IFERROR(VLOOKUP(D45,Lists!C:D,2,FALSE),"")</f>
        <v/>
      </c>
      <c r="F45" t="str">
        <f>IFERROR(VLOOKUP(D45,Lists!C:E,3,FALSE),"")</f>
        <v/>
      </c>
      <c r="G45" s="2"/>
    </row>
    <row r="46" spans="1:7" x14ac:dyDescent="0.25">
      <c r="A46" t="str" cm="1">
        <f t="array" ref="A46">_xlfn.IFS(C1="Decimal",(IF(INT(RIGHT(CONCATENATE(IF($C$2&lt;10,CONCATENATE("0",$C$2),$C$2),".","041"),3))&lt;($C$3+1),CONCATENATE(IF($C$2&lt;10,CONCATENATE("0",$C$2),$C$2),".","041"),"")),C1="Hex",(IF(INT(RIGHT(CONCATENATE(IF($C$2&lt;10,CONCATENATE("0",$C$2),$C$2),".","041"),3))&lt;($C$3+1),CONCATENATE(DEC2HEX($C$2),".","041"),"")))</f>
        <v/>
      </c>
      <c r="B46" s="7" t="s">
        <v>11</v>
      </c>
      <c r="C46" t="str">
        <f t="shared" si="0"/>
        <v/>
      </c>
      <c r="D46" s="6"/>
      <c r="E46" s="6" t="str">
        <f>IFERROR(VLOOKUP(D46,Lists!C:D,2,FALSE),"")</f>
        <v/>
      </c>
      <c r="F46" t="str">
        <f>IFERROR(VLOOKUP(D46,Lists!C:E,3,FALSE),"")</f>
        <v/>
      </c>
      <c r="G46" s="4"/>
    </row>
    <row r="47" spans="1:7" x14ac:dyDescent="0.25">
      <c r="A47" t="str" cm="1">
        <f t="array" ref="A47">_xlfn.IFS(C1="Decimal",(IF(INT(RIGHT(CONCATENATE(IF($C$2&lt;10,CONCATENATE("0",$C$2),$C$2),".","042"),3))&lt;($C$3+1),CONCATENATE(IF($C$2&lt;10,CONCATENATE("0",$C$2),$C$2),".","042"),"")),C1="Hex",(IF(INT(RIGHT(CONCATENATE(IF($C$2&lt;10,CONCATENATE("0",$C$2),$C$2),".","042"),3))&lt;($C$3+1),CONCATENATE(DEC2HEX($C$2),".","042"),"")))</f>
        <v/>
      </c>
      <c r="B47" s="7" t="s">
        <v>11</v>
      </c>
      <c r="C47" t="str">
        <f t="shared" si="0"/>
        <v/>
      </c>
      <c r="D47" s="6"/>
      <c r="E47" s="6" t="str">
        <f>IFERROR(VLOOKUP(D47,Lists!C:D,2,FALSE),"")</f>
        <v/>
      </c>
      <c r="F47" t="str">
        <f>IFERROR(VLOOKUP(D47,Lists!C:E,3,FALSE),"")</f>
        <v/>
      </c>
      <c r="G47" s="2"/>
    </row>
    <row r="48" spans="1:7" x14ac:dyDescent="0.25">
      <c r="A48" t="str" cm="1">
        <f t="array" ref="A48">_xlfn.IFS(C1="Decimal",(IF(INT(RIGHT(CONCATENATE(IF($C$2&lt;10,CONCATENATE("0",$C$2),$C$2),".","043"),3))&lt;($C$3+1),CONCATENATE(IF($C$2&lt;10,CONCATENATE("0",$C$2),$C$2),".","043"),"")),C1="Hex",(IF(INT(RIGHT(CONCATENATE(IF($C$2&lt;10,CONCATENATE("0",$C$2),$C$2),".","043"),3))&lt;($C$3+1),CONCATENATE(DEC2HEX($C$2),".","043"),"")))</f>
        <v/>
      </c>
      <c r="B48" s="7" t="s">
        <v>11</v>
      </c>
      <c r="C48" t="str">
        <f t="shared" si="0"/>
        <v/>
      </c>
      <c r="D48" s="6"/>
      <c r="E48" s="6" t="str">
        <f>IFERROR(VLOOKUP(D48,Lists!C:D,2,FALSE),"")</f>
        <v/>
      </c>
      <c r="F48" t="str">
        <f>IFERROR(VLOOKUP(D48,Lists!C:E,3,FALSE),"")</f>
        <v/>
      </c>
      <c r="G48" s="2"/>
    </row>
    <row r="49" spans="1:7" x14ac:dyDescent="0.25">
      <c r="A49" t="str" cm="1">
        <f t="array" ref="A49">_xlfn.IFS(C1="Decimal",(IF(INT(RIGHT(CONCATENATE(IF($C$2&lt;10,CONCATENATE("0",$C$2),$C$2),".","044"),3))&lt;($C$3+1),CONCATENATE(IF($C$2&lt;10,CONCATENATE("0",$C$2),$C$2),".","044"),"")),C1="Hex",(IF(INT(RIGHT(CONCATENATE(IF($C$2&lt;10,CONCATENATE("0",$C$2),$C$2),".","044"),3))&lt;($C$3+1),CONCATENATE(DEC2HEX($C$2),".","044"),"")))</f>
        <v/>
      </c>
      <c r="B49" s="7" t="s">
        <v>11</v>
      </c>
      <c r="C49" t="str">
        <f t="shared" si="0"/>
        <v/>
      </c>
      <c r="D49" s="6"/>
      <c r="E49" s="6" t="str">
        <f>IFERROR(VLOOKUP(D49,Lists!C:D,2,FALSE),"")</f>
        <v/>
      </c>
      <c r="F49" t="str">
        <f>IFERROR(VLOOKUP(D49,Lists!C:E,3,FALSE),"")</f>
        <v/>
      </c>
      <c r="G49" s="2"/>
    </row>
    <row r="50" spans="1:7" x14ac:dyDescent="0.25">
      <c r="A50" t="str" cm="1">
        <f t="array" ref="A50">_xlfn.IFS(C1="Decimal",(IF(INT(RIGHT(CONCATENATE(IF($C$2&lt;10,CONCATENATE("0",$C$2),$C$2),".","045"),3))&lt;($C$3+1),CONCATENATE(IF($C$2&lt;10,CONCATENATE("0",$C$2),$C$2),".","045"),"")),C1="Hex",(IF(INT(RIGHT(CONCATENATE(IF($C$2&lt;10,CONCATENATE("0",$C$2),$C$2),".","045"),3))&lt;($C$3+1),CONCATENATE(DEC2HEX($C$2),".","045"),"")))</f>
        <v/>
      </c>
      <c r="B50" s="7" t="s">
        <v>11</v>
      </c>
      <c r="C50" t="str">
        <f t="shared" si="0"/>
        <v/>
      </c>
      <c r="D50" s="6"/>
      <c r="E50" s="6" t="str">
        <f>IFERROR(VLOOKUP(D50,Lists!C:D,2,FALSE),"")</f>
        <v/>
      </c>
      <c r="F50" t="str">
        <f>IFERROR(VLOOKUP(D50,Lists!C:E,3,FALSE),"")</f>
        <v/>
      </c>
      <c r="G50" s="4"/>
    </row>
    <row r="51" spans="1:7" x14ac:dyDescent="0.25">
      <c r="A51" t="str" cm="1">
        <f t="array" ref="A51">_xlfn.IFS(C1="Decimal",(IF(INT(RIGHT(CONCATENATE(IF($C$2&lt;10,CONCATENATE("0",$C$2),$C$2),".","046"),3))&lt;($C$3+1),CONCATENATE(IF($C$2&lt;10,CONCATENATE("0",$C$2),$C$2),".","046"),"")),C1="Hex",(IF(INT(RIGHT(CONCATENATE(IF($C$2&lt;10,CONCATENATE("0",$C$2),$C$2),".","046"),3))&lt;($C$3+1),CONCATENATE(DEC2HEX($C$2),".","046"),"")))</f>
        <v/>
      </c>
      <c r="B51" s="7" t="s">
        <v>11</v>
      </c>
      <c r="C51" t="str">
        <f t="shared" si="0"/>
        <v/>
      </c>
      <c r="D51" s="6"/>
      <c r="E51" s="6" t="str">
        <f>IFERROR(VLOOKUP(D51,Lists!C:D,2,FALSE),"")</f>
        <v/>
      </c>
      <c r="F51" t="str">
        <f>IFERROR(VLOOKUP(D51,Lists!C:E,3,FALSE),"")</f>
        <v/>
      </c>
      <c r="G51" s="2"/>
    </row>
    <row r="52" spans="1:7" x14ac:dyDescent="0.25">
      <c r="A52" t="str" cm="1">
        <f t="array" ref="A52">_xlfn.IFS(C1="Decimal",(IF(INT(RIGHT(CONCATENATE(IF($C$2&lt;10,CONCATENATE("0",$C$2),$C$2),".","047"),3))&lt;($C$3+1),CONCATENATE(IF($C$2&lt;10,CONCATENATE("0",$C$2),$C$2),".","047"),"")),C1="Hex",(IF(INT(RIGHT(CONCATENATE(IF($C$2&lt;10,CONCATENATE("0",$C$2),$C$2),".","047"),3))&lt;($C$3+1),CONCATENATE(DEC2HEX($C$2),".","047"),"")))</f>
        <v/>
      </c>
      <c r="B52" s="7" t="s">
        <v>11</v>
      </c>
      <c r="C52" t="str">
        <f t="shared" si="0"/>
        <v/>
      </c>
      <c r="D52" s="6"/>
      <c r="E52" s="6" t="str">
        <f>IFERROR(VLOOKUP(D52,Lists!C:D,2,FALSE),"")</f>
        <v/>
      </c>
      <c r="F52" t="str">
        <f>IFERROR(VLOOKUP(D52,Lists!C:E,3,FALSE),"")</f>
        <v/>
      </c>
      <c r="G52" s="2"/>
    </row>
    <row r="53" spans="1:7" x14ac:dyDescent="0.25">
      <c r="A53" t="str" cm="1">
        <f t="array" ref="A53">_xlfn.IFS(C1="Decimal",(IF(INT(RIGHT(CONCATENATE(IF($C$2&lt;10,CONCATENATE("0",$C$2),$C$2),".","048"),3))&lt;($C$3+1),CONCATENATE(IF($C$2&lt;10,CONCATENATE("0",$C$2),$C$2),".","048"),"")),C1="Hex",(IF(INT(RIGHT(CONCATENATE(IF($C$2&lt;10,CONCATENATE("0",$C$2),$C$2),".","048"),3))&lt;($C$3+1),CONCATENATE(DEC2HEX($C$2),".","048"),"")))</f>
        <v/>
      </c>
      <c r="B53" s="7" t="s">
        <v>11</v>
      </c>
      <c r="C53" t="str">
        <f t="shared" si="0"/>
        <v/>
      </c>
      <c r="D53" s="6"/>
      <c r="E53" s="6" t="str">
        <f>IFERROR(VLOOKUP(D53,Lists!C:D,2,FALSE),"")</f>
        <v/>
      </c>
      <c r="F53" t="str">
        <f>IFERROR(VLOOKUP(D53,Lists!C:E,3,FALSE),"")</f>
        <v/>
      </c>
      <c r="G53" s="2"/>
    </row>
    <row r="54" spans="1:7" x14ac:dyDescent="0.25">
      <c r="A54" t="str" cm="1">
        <f t="array" ref="A54">_xlfn.IFS(C1="Decimal",(IF(INT(RIGHT(CONCATENATE(IF($C$2&lt;10,CONCATENATE("0",$C$2),$C$2),".","049"),3))&lt;($C$3+1),CONCATENATE(IF($C$2&lt;10,CONCATENATE("0",$C$2),$C$2),".","049"),"")),C1="Hex",(IF(INT(RIGHT(CONCATENATE(IF($C$2&lt;10,CONCATENATE("0",$C$2),$C$2),".","049"),3))&lt;($C$3+1),CONCATENATE(DEC2HEX($C$2),".","049"),"")))</f>
        <v/>
      </c>
      <c r="B54" s="7" t="s">
        <v>11</v>
      </c>
      <c r="C54" t="str">
        <f t="shared" si="0"/>
        <v/>
      </c>
      <c r="D54" s="6"/>
      <c r="E54" s="6" t="str">
        <f>IFERROR(VLOOKUP(D54,Lists!C:D,2,FALSE),"")</f>
        <v/>
      </c>
      <c r="F54" t="str">
        <f>IFERROR(VLOOKUP(D54,Lists!C:E,3,FALSE),"")</f>
        <v/>
      </c>
      <c r="G54" s="4"/>
    </row>
    <row r="55" spans="1:7" x14ac:dyDescent="0.25">
      <c r="A55" t="str" cm="1">
        <f t="array" ref="A55">_xlfn.IFS(C1="Decimal",(IF(INT(RIGHT(CONCATENATE(IF($C$2&lt;10,CONCATENATE("0",$C$2),$C$2),".","050"),3))&lt;($C$3+1),CONCATENATE(IF($C$2&lt;10,CONCATENATE("0",$C$2),$C$2),".","050"),"")),C1="Hex",(IF(INT(RIGHT(CONCATENATE(IF($C$2&lt;10,CONCATENATE("0",$C$2),$C$2),".","050"),3))&lt;($C$3+1),CONCATENATE(DEC2HEX($C$2),".","050"),"")))</f>
        <v/>
      </c>
      <c r="B55" s="7" t="s">
        <v>11</v>
      </c>
      <c r="C55" t="str">
        <f t="shared" si="0"/>
        <v/>
      </c>
      <c r="D55" s="6"/>
      <c r="E55" s="6" t="str">
        <f>IFERROR(VLOOKUP(D55,Lists!C:D,2,FALSE),"")</f>
        <v/>
      </c>
      <c r="F55" t="str">
        <f>IFERROR(VLOOKUP(D55,Lists!C:E,3,FALSE),"")</f>
        <v/>
      </c>
      <c r="G55" s="2"/>
    </row>
    <row r="56" spans="1:7" x14ac:dyDescent="0.25">
      <c r="A56" t="str" cm="1">
        <f t="array" ref="A56">_xlfn.IFS(C1="Decimal",(IF(INT(RIGHT(CONCATENATE(IF($C$2&lt;10,CONCATENATE("0",$C$2),$C$2),".","051"),3))&lt;($C$3+1),CONCATENATE(IF($C$2&lt;10,CONCATENATE("0",$C$2),$C$2),".","051"),"")),C1="Hex",(IF(INT(RIGHT(CONCATENATE(IF($C$2&lt;10,CONCATENATE("0",$C$2),$C$2),".","051"),3))&lt;($C$3+1),CONCATENATE(DEC2HEX($C$2),".","051"),"")))</f>
        <v/>
      </c>
      <c r="B56" s="7" t="s">
        <v>11</v>
      </c>
      <c r="C56" t="str">
        <f t="shared" si="0"/>
        <v/>
      </c>
      <c r="D56" s="6"/>
      <c r="E56" s="6" t="str">
        <f>IFERROR(VLOOKUP(D56,Lists!C:D,2,FALSE),"")</f>
        <v/>
      </c>
      <c r="F56" t="str">
        <f>IFERROR(VLOOKUP(D56,Lists!C:E,3,FALSE),"")</f>
        <v/>
      </c>
      <c r="G56" s="2"/>
    </row>
    <row r="57" spans="1:7" x14ac:dyDescent="0.25">
      <c r="A57" t="str" cm="1">
        <f t="array" ref="A57">_xlfn.IFS(C1="Decimal",(IF(INT(RIGHT(CONCATENATE(IF($C$2&lt;10,CONCATENATE("0",$C$2),$C$2),".","052"),3))&lt;($C$3+1),CONCATENATE(IF($C$2&lt;10,CONCATENATE("0",$C$2),$C$2),".","052"),"")),C1="Hex",(IF(INT(RIGHT(CONCATENATE(IF($C$2&lt;10,CONCATENATE("0",$C$2),$C$2),".","052"),3))&lt;($C$3+1),CONCATENATE(DEC2HEX($C$2),".","052"),"")))</f>
        <v/>
      </c>
      <c r="B57" s="7" t="s">
        <v>11</v>
      </c>
      <c r="C57" t="str">
        <f t="shared" si="0"/>
        <v/>
      </c>
      <c r="D57" s="6"/>
      <c r="E57" s="6" t="str">
        <f>IFERROR(VLOOKUP(D57,Lists!C:D,2,FALSE),"")</f>
        <v/>
      </c>
      <c r="F57" t="str">
        <f>IFERROR(VLOOKUP(D57,Lists!C:E,3,FALSE),"")</f>
        <v/>
      </c>
      <c r="G57" s="2"/>
    </row>
    <row r="58" spans="1:7" x14ac:dyDescent="0.25">
      <c r="A58" t="str" cm="1">
        <f t="array" ref="A58">_xlfn.IFS(C1="Decimal",(IF(INT(RIGHT(CONCATENATE(IF($C$2&lt;10,CONCATENATE("0",$C$2),$C$2),".","053"),3))&lt;($C$3+1),CONCATENATE(IF($C$2&lt;10,CONCATENATE("0",$C$2),$C$2),".","053"),"")),C1="Hex",(IF(INT(RIGHT(CONCATENATE(IF($C$2&lt;10,CONCATENATE("0",$C$2),$C$2),".","053"),3))&lt;($C$3+1),CONCATENATE(DEC2HEX($C$2),".","053"),"")))</f>
        <v/>
      </c>
      <c r="B58" s="7" t="s">
        <v>11</v>
      </c>
      <c r="C58" t="str">
        <f t="shared" si="0"/>
        <v/>
      </c>
      <c r="D58" s="6"/>
      <c r="E58" s="6" t="str">
        <f>IFERROR(VLOOKUP(D58,Lists!C:D,2,FALSE),"")</f>
        <v/>
      </c>
      <c r="F58" t="str">
        <f>IFERROR(VLOOKUP(D58,Lists!C:E,3,FALSE),"")</f>
        <v/>
      </c>
      <c r="G58" s="4"/>
    </row>
    <row r="59" spans="1:7" x14ac:dyDescent="0.25">
      <c r="A59" t="str" cm="1">
        <f t="array" ref="A59">_xlfn.IFS(C1="Decimal",(IF(INT(RIGHT(CONCATENATE(IF($C$2&lt;10,CONCATENATE("0",$C$2),$C$2),".","054"),3))&lt;($C$3+1),CONCATENATE(IF($C$2&lt;10,CONCATENATE("0",$C$2),$C$2),".","054"),"")),C1="Hex",(IF(INT(RIGHT(CONCATENATE(IF($C$2&lt;10,CONCATENATE("0",$C$2),$C$2),".","054"),3))&lt;($C$3+1),CONCATENATE(DEC2HEX($C$2),".","054"),"")))</f>
        <v/>
      </c>
      <c r="B59" s="7" t="s">
        <v>11</v>
      </c>
      <c r="C59" t="str">
        <f t="shared" si="0"/>
        <v/>
      </c>
      <c r="D59" s="6"/>
      <c r="E59" s="6" t="str">
        <f>IFERROR(VLOOKUP(D59,Lists!C:D,2,FALSE),"")</f>
        <v/>
      </c>
      <c r="F59" t="str">
        <f>IFERROR(VLOOKUP(D59,Lists!C:E,3,FALSE),"")</f>
        <v/>
      </c>
      <c r="G59" s="2"/>
    </row>
    <row r="60" spans="1:7" x14ac:dyDescent="0.25">
      <c r="A60" t="str" cm="1">
        <f t="array" ref="A60">_xlfn.IFS(C1="Decimal",(IF(INT(RIGHT(CONCATENATE(IF($C$2&lt;10,CONCATENATE("0",$C$2),$C$2),".","055"),3))&lt;($C$3+1),CONCATENATE(IF($C$2&lt;10,CONCATENATE("0",$C$2),$C$2),".","055"),"")),C1="Hex",(IF(INT(RIGHT(CONCATENATE(IF($C$2&lt;10,CONCATENATE("0",$C$2),$C$2),".","055"),3))&lt;($C$3+1),CONCATENATE(DEC2HEX($C$2),".","055"),"")))</f>
        <v/>
      </c>
      <c r="B60" s="7" t="s">
        <v>11</v>
      </c>
      <c r="C60" t="str">
        <f t="shared" si="0"/>
        <v/>
      </c>
      <c r="D60" s="6"/>
      <c r="E60" s="6" t="str">
        <f>IFERROR(VLOOKUP(D60,Lists!C:D,2,FALSE),"")</f>
        <v/>
      </c>
      <c r="F60" t="str">
        <f>IFERROR(VLOOKUP(D60,Lists!C:E,3,FALSE),"")</f>
        <v/>
      </c>
      <c r="G60" s="2"/>
    </row>
    <row r="61" spans="1:7" x14ac:dyDescent="0.25">
      <c r="A61" t="str" cm="1">
        <f t="array" ref="A61">_xlfn.IFS(C1="Decimal",(IF(INT(RIGHT(CONCATENATE(IF($C$2&lt;10,CONCATENATE("0",$C$2),$C$2),".","056"),3))&lt;($C$3+1),CONCATENATE(IF($C$2&lt;10,CONCATENATE("0",$C$2),$C$2),".","056"),"")),C1="Hex",(IF(INT(RIGHT(CONCATENATE(IF($C$2&lt;10,CONCATENATE("0",$C$2),$C$2),".","056"),3))&lt;($C$3+1),CONCATENATE(DEC2HEX($C$2),".","056"),"")))</f>
        <v/>
      </c>
      <c r="B61" s="7" t="s">
        <v>11</v>
      </c>
      <c r="C61" t="str">
        <f t="shared" si="0"/>
        <v/>
      </c>
      <c r="D61" s="6"/>
      <c r="E61" s="6" t="str">
        <f>IFERROR(VLOOKUP(D61,Lists!C:D,2,FALSE),"")</f>
        <v/>
      </c>
      <c r="F61" t="str">
        <f>IFERROR(VLOOKUP(D61,Lists!C:E,3,FALSE),"")</f>
        <v/>
      </c>
      <c r="G61" s="2"/>
    </row>
    <row r="62" spans="1:7" x14ac:dyDescent="0.25">
      <c r="A62" t="str" cm="1">
        <f t="array" ref="A62">_xlfn.IFS(C1="Decimal",(IF(INT(RIGHT(CONCATENATE(IF($C$2&lt;10,CONCATENATE("0",$C$2),$C$2),".","057"),3))&lt;($C$3+1),CONCATENATE(IF($C$2&lt;10,CONCATENATE("0",$C$2),$C$2),".","057"),"")),C1="Hex",(IF(INT(RIGHT(CONCATENATE(IF($C$2&lt;10,CONCATENATE("0",$C$2),$C$2),".","057"),3))&lt;($C$3+1),CONCATENATE(DEC2HEX($C$2),".","057"),"")))</f>
        <v/>
      </c>
      <c r="B62" s="7" t="s">
        <v>11</v>
      </c>
      <c r="C62" t="str">
        <f t="shared" si="0"/>
        <v/>
      </c>
      <c r="D62" s="6"/>
      <c r="E62" s="6" t="str">
        <f>IFERROR(VLOOKUP(D62,Lists!C:D,2,FALSE),"")</f>
        <v/>
      </c>
      <c r="F62" t="str">
        <f>IFERROR(VLOOKUP(D62,Lists!C:E,3,FALSE),"")</f>
        <v/>
      </c>
      <c r="G62" s="4"/>
    </row>
    <row r="63" spans="1:7" x14ac:dyDescent="0.25">
      <c r="A63" t="str" cm="1">
        <f t="array" ref="A63">_xlfn.IFS(C1="Decimal",(IF(INT(RIGHT(CONCATENATE(IF($C$2&lt;10,CONCATENATE("0",$C$2),$C$2),".","058"),3))&lt;($C$3+1),CONCATENATE(IF($C$2&lt;10,CONCATENATE("0",$C$2),$C$2),".","058"),"")),C1="Hex",(IF(INT(RIGHT(CONCATENATE(IF($C$2&lt;10,CONCATENATE("0",$C$2),$C$2),".","058"),3))&lt;($C$3+1),CONCATENATE(DEC2HEX($C$2),".","058"),"")))</f>
        <v/>
      </c>
      <c r="B63" s="7" t="s">
        <v>11</v>
      </c>
      <c r="C63" t="str">
        <f t="shared" si="0"/>
        <v/>
      </c>
      <c r="D63" s="6"/>
      <c r="E63" s="6" t="str">
        <f>IFERROR(VLOOKUP(D63,Lists!C:D,2,FALSE),"")</f>
        <v/>
      </c>
      <c r="F63" t="str">
        <f>IFERROR(VLOOKUP(D63,Lists!C:E,3,FALSE),"")</f>
        <v/>
      </c>
      <c r="G63" s="2"/>
    </row>
    <row r="64" spans="1:7" x14ac:dyDescent="0.25">
      <c r="A64" t="str" cm="1">
        <f t="array" ref="A64">_xlfn.IFS(C1="Decimal",(IF(INT(RIGHT(CONCATENATE(IF($C$2&lt;10,CONCATENATE("0",$C$2),$C$2),".","059"),3))&lt;($C$3+1),CONCATENATE(IF($C$2&lt;10,CONCATENATE("0",$C$2),$C$2),".","059"),"")),C1="Hex",(IF(INT(RIGHT(CONCATENATE(IF($C$2&lt;10,CONCATENATE("0",$C$2),$C$2),".","059"),3))&lt;($C$3+1),CONCATENATE(DEC2HEX($C$2),".","059"),"")))</f>
        <v/>
      </c>
      <c r="B64" s="7" t="s">
        <v>11</v>
      </c>
      <c r="C64" t="str">
        <f t="shared" si="0"/>
        <v/>
      </c>
      <c r="D64" s="6"/>
      <c r="E64" s="6" t="str">
        <f>IFERROR(VLOOKUP(D64,Lists!C:D,2,FALSE),"")</f>
        <v/>
      </c>
      <c r="F64" t="str">
        <f>IFERROR(VLOOKUP(D64,Lists!C:E,3,FALSE),"")</f>
        <v/>
      </c>
      <c r="G64" s="2"/>
    </row>
    <row r="65" spans="1:7" x14ac:dyDescent="0.25">
      <c r="A65" t="str" cm="1">
        <f t="array" ref="A65">_xlfn.IFS(C1="Decimal",(IF(INT(RIGHT(CONCATENATE(IF($C$2&lt;10,CONCATENATE("0",$C$2),$C$2),".","060"),3))&lt;($C$3+1),CONCATENATE(IF($C$2&lt;10,CONCATENATE("0",$C$2),$C$2),".","060"),"")),C1="Hex",(IF(INT(RIGHT(CONCATENATE(IF($C$2&lt;10,CONCATENATE("0",$C$2),$C$2),".","060"),3))&lt;($C$3+1),CONCATENATE(DEC2HEX($C$2),".","060"),"")))</f>
        <v/>
      </c>
      <c r="B65" s="7" t="s">
        <v>11</v>
      </c>
      <c r="C65" t="str">
        <f t="shared" si="0"/>
        <v/>
      </c>
      <c r="D65" s="6"/>
      <c r="E65" s="6" t="str">
        <f>IFERROR(VLOOKUP(D65,Lists!C:D,2,FALSE),"")</f>
        <v/>
      </c>
      <c r="F65" t="str">
        <f>IFERROR(VLOOKUP(D65,Lists!C:E,3,FALSE),"")</f>
        <v/>
      </c>
      <c r="G65" s="2"/>
    </row>
    <row r="66" spans="1:7" x14ac:dyDescent="0.25">
      <c r="A66" t="str" cm="1">
        <f t="array" ref="A66">_xlfn.IFS(C1="Decimal",(IF(INT(RIGHT(CONCATENATE(IF($C$2&lt;10,CONCATENATE("0",$C$2),$C$2),".","061"),3))&lt;($C$3+1),CONCATENATE(IF($C$2&lt;10,CONCATENATE("0",$C$2),$C$2),".","061"),"")),C1="Hex",(IF(INT(RIGHT(CONCATENATE(IF($C$2&lt;10,CONCATENATE("0",$C$2),$C$2),".","061"),3))&lt;($C$3+1),CONCATENATE(DEC2HEX($C$2),".","061"),"")))</f>
        <v/>
      </c>
      <c r="B66" s="7" t="s">
        <v>11</v>
      </c>
      <c r="C66" t="str">
        <f t="shared" si="0"/>
        <v/>
      </c>
      <c r="D66" s="6"/>
      <c r="E66" s="6" t="str">
        <f>IFERROR(VLOOKUP(D66,Lists!C:D,2,FALSE),"")</f>
        <v/>
      </c>
      <c r="F66" t="str">
        <f>IFERROR(VLOOKUP(D66,Lists!C:E,3,FALSE),"")</f>
        <v/>
      </c>
      <c r="G66" s="4"/>
    </row>
    <row r="67" spans="1:7" x14ac:dyDescent="0.25">
      <c r="A67" t="str" cm="1">
        <f t="array" ref="A67">_xlfn.IFS(C1="Decimal",(IF(INT(RIGHT(CONCATENATE(IF($C$2&lt;10,CONCATENATE("0",$C$2),$C$2),".","062"),3))&lt;($C$3+1),CONCATENATE(IF($C$2&lt;10,CONCATENATE("0",$C$2),$C$2),".","062"),"")),C1="Hex",(IF(INT(RIGHT(CONCATENATE(IF($C$2&lt;10,CONCATENATE("0",$C$2),$C$2),".","062"),3))&lt;($C$3+1),CONCATENATE(DEC2HEX($C$2),".","062"),"")))</f>
        <v/>
      </c>
      <c r="B67" s="7" t="s">
        <v>11</v>
      </c>
      <c r="C67" t="str">
        <f t="shared" si="0"/>
        <v/>
      </c>
      <c r="D67" s="6"/>
      <c r="E67" s="6" t="str">
        <f>IFERROR(VLOOKUP(D67,Lists!C:D,2,FALSE),"")</f>
        <v/>
      </c>
      <c r="F67" t="str">
        <f>IFERROR(VLOOKUP(D67,Lists!C:E,3,FALSE),"")</f>
        <v/>
      </c>
      <c r="G67" s="2"/>
    </row>
    <row r="68" spans="1:7" x14ac:dyDescent="0.25">
      <c r="A68" t="str" cm="1">
        <f t="array" ref="A68">_xlfn.IFS(C1="Decimal",(IF(INT(RIGHT(CONCATENATE(IF($C$2&lt;10,CONCATENATE("0",$C$2),$C$2),".","063"),3))&lt;($C$3+1),CONCATENATE(IF($C$2&lt;10,CONCATENATE("0",$C$2),$C$2),".","063"),"")),C1="Hex",(IF(INT(RIGHT(CONCATENATE(IF($C$2&lt;10,CONCATENATE("0",$C$2),$C$2),".","063"),3))&lt;($C$3+1),CONCATENATE(DEC2HEX($C$2),".","063"),"")))</f>
        <v/>
      </c>
      <c r="B68" s="7" t="s">
        <v>11</v>
      </c>
      <c r="C68" t="str">
        <f t="shared" si="0"/>
        <v/>
      </c>
      <c r="D68" s="6"/>
      <c r="E68" s="6" t="str">
        <f>IFERROR(VLOOKUP(D68,Lists!C:D,2,FALSE),"")</f>
        <v/>
      </c>
      <c r="F68" t="str">
        <f>IFERROR(VLOOKUP(D68,Lists!C:E,3,FALSE),"")</f>
        <v/>
      </c>
      <c r="G68" s="2"/>
    </row>
    <row r="69" spans="1:7" x14ac:dyDescent="0.25">
      <c r="A69" t="str" cm="1">
        <f t="array" ref="A69">_xlfn.IFS(C1="Decimal",(IF(INT(RIGHT(CONCATENATE(IF($C$2&lt;10,CONCATENATE("0",$C$2),$C$2),".","064"),3))&lt;($C$3+1),CONCATENATE(IF($C$2&lt;10,CONCATENATE("0",$C$2),$C$2),".","064"),"")),C1="Hex",(IF(INT(RIGHT(CONCATENATE(IF($C$2&lt;10,CONCATENATE("0",$C$2),$C$2),".","064"),3))&lt;($C$3+1),CONCATENATE(DEC2HEX($C$2),".","064"),"")))</f>
        <v/>
      </c>
      <c r="B69" s="7" t="s">
        <v>11</v>
      </c>
      <c r="C69" t="str">
        <f t="shared" si="0"/>
        <v/>
      </c>
      <c r="D69" s="6"/>
      <c r="E69" s="6" t="str">
        <f>IFERROR(VLOOKUP(D69,Lists!C:D,2,FALSE),"")</f>
        <v/>
      </c>
      <c r="F69" t="str">
        <f>IFERROR(VLOOKUP(D69,Lists!C:E,3,FALSE),"")</f>
        <v/>
      </c>
      <c r="G69" s="2"/>
    </row>
    <row r="70" spans="1:7" x14ac:dyDescent="0.25">
      <c r="A70" t="str" cm="1">
        <f t="array" ref="A70">_xlfn.IFS(C1="Decimal",(IF(INT(RIGHT(CONCATENATE(IF($C$2&lt;10,CONCATENATE("0",$C$2),$C$2),".","065"),3))&lt;($C$3+1),CONCATENATE(IF($C$2&lt;10,CONCATENATE("0",$C$2),$C$2),".","065"),"")),C1="Hex",(IF(INT(RIGHT(CONCATENATE(IF($C$2&lt;10,CONCATENATE("0",$C$2),$C$2),".","065"),3))&lt;($C$3+1),CONCATENATE(DEC2HEX($C$2),".","065"),"")))</f>
        <v/>
      </c>
      <c r="B70" s="7" t="s">
        <v>11</v>
      </c>
      <c r="C70" t="str">
        <f t="shared" si="0"/>
        <v/>
      </c>
      <c r="D70" s="6"/>
      <c r="E70" s="6" t="str">
        <f>IFERROR(VLOOKUP(D70,Lists!C:D,2,FALSE),"")</f>
        <v/>
      </c>
      <c r="F70" t="str">
        <f>IFERROR(VLOOKUP(D70,Lists!C:E,3,FALSE),"")</f>
        <v/>
      </c>
      <c r="G70" s="4"/>
    </row>
    <row r="71" spans="1:7" x14ac:dyDescent="0.25">
      <c r="A71" t="str" cm="1">
        <f t="array" ref="A71">_xlfn.IFS(C1="Decimal",(IF(INT(RIGHT(CONCATENATE(IF($C$2&lt;10,CONCATENATE("0",$C$2),$C$2),".","066"),3))&lt;($C$3+1),CONCATENATE(IF($C$2&lt;10,CONCATENATE("0",$C$2),$C$2),".","066"),"")),C1="Hex",(IF(INT(RIGHT(CONCATENATE(IF($C$2&lt;10,CONCATENATE("0",$C$2),$C$2),".","066"),3))&lt;($C$3+1),CONCATENATE(DEC2HEX($C$2),".","066"),"")))</f>
        <v/>
      </c>
      <c r="B71" s="7" t="s">
        <v>11</v>
      </c>
      <c r="C71" t="str">
        <f t="shared" ref="C71:C133" si="1">IF(LEN(B71)=0,"",LEN(B71))</f>
        <v/>
      </c>
      <c r="D71" s="6"/>
      <c r="E71" s="6" t="str">
        <f>IFERROR(VLOOKUP(D71,Lists!C:D,2,FALSE),"")</f>
        <v/>
      </c>
      <c r="F71" t="str">
        <f>IFERROR(VLOOKUP(D71,Lists!C:E,3,FALSE),"")</f>
        <v/>
      </c>
      <c r="G71" s="2"/>
    </row>
    <row r="72" spans="1:7" x14ac:dyDescent="0.25">
      <c r="A72" t="str" cm="1">
        <f t="array" ref="A72">_xlfn.IFS(C1="Decimal",(IF(INT(RIGHT(CONCATENATE(IF($C$2&lt;10,CONCATENATE("0",$C$2),$C$2),".","067"),3))&lt;($C$3+1),CONCATENATE(IF($C$2&lt;10,CONCATENATE("0",$C$2),$C$2),".","067"),"")),C1="Hex",(IF(INT(RIGHT(CONCATENATE(IF($C$2&lt;10,CONCATENATE("0",$C$2),$C$2),".","067"),3))&lt;($C$3+1),CONCATENATE(DEC2HEX($C$2),".","067"),"")))</f>
        <v/>
      </c>
      <c r="B72" s="7" t="s">
        <v>11</v>
      </c>
      <c r="C72" t="str">
        <f t="shared" si="1"/>
        <v/>
      </c>
      <c r="D72" s="6"/>
      <c r="E72" s="6" t="str">
        <f>IFERROR(VLOOKUP(D72,Lists!C:D,2,FALSE),"")</f>
        <v/>
      </c>
      <c r="F72" t="str">
        <f>IFERROR(VLOOKUP(D72,Lists!C:E,3,FALSE),"")</f>
        <v/>
      </c>
      <c r="G72" s="2"/>
    </row>
    <row r="73" spans="1:7" x14ac:dyDescent="0.25">
      <c r="A73" t="str" cm="1">
        <f t="array" ref="A73">_xlfn.IFS(C1="Decimal",(IF(INT(RIGHT(CONCATENATE(IF($C$2&lt;10,CONCATENATE("0",$C$2),$C$2),".","068"),3))&lt;($C$3+1),CONCATENATE(IF($C$2&lt;10,CONCATENATE("0",$C$2),$C$2),".","068"),"")),C1="Hex",(IF(INT(RIGHT(CONCATENATE(IF($C$2&lt;10,CONCATENATE("0",$C$2),$C$2),".","068"),3))&lt;($C$3+1),CONCATENATE(DEC2HEX($C$2),".","068"),"")))</f>
        <v/>
      </c>
      <c r="B73" s="7" t="s">
        <v>11</v>
      </c>
      <c r="C73" t="str">
        <f t="shared" si="1"/>
        <v/>
      </c>
      <c r="D73" s="6"/>
      <c r="E73" s="6" t="str">
        <f>IFERROR(VLOOKUP(D73,Lists!C:D,2,FALSE),"")</f>
        <v/>
      </c>
      <c r="F73" t="str">
        <f>IFERROR(VLOOKUP(D73,Lists!C:E,3,FALSE),"")</f>
        <v/>
      </c>
      <c r="G73" s="2"/>
    </row>
    <row r="74" spans="1:7" x14ac:dyDescent="0.25">
      <c r="A74" t="str" cm="1">
        <f t="array" ref="A74">_xlfn.IFS(C1="Decimal",(IF(INT(RIGHT(CONCATENATE(IF($C$2&lt;10,CONCATENATE("0",$C$2),$C$2),".","069"),3))&lt;($C$3+1),CONCATENATE(IF($C$2&lt;10,CONCATENATE("0",$C$2),$C$2),".","069"),"")),C1="Hex",(IF(INT(RIGHT(CONCATENATE(IF($C$2&lt;10,CONCATENATE("0",$C$2),$C$2),".","069"),3))&lt;($C$3+1),CONCATENATE(DEC2HEX($C$2),".","069"),"")))</f>
        <v/>
      </c>
      <c r="B74" s="7" t="s">
        <v>11</v>
      </c>
      <c r="C74" t="str">
        <f t="shared" si="1"/>
        <v/>
      </c>
      <c r="D74" s="6"/>
      <c r="E74" s="6" t="str">
        <f>IFERROR(VLOOKUP(D74,Lists!C:D,2,FALSE),"")</f>
        <v/>
      </c>
      <c r="F74" t="str">
        <f>IFERROR(VLOOKUP(D74,Lists!C:E,3,FALSE),"")</f>
        <v/>
      </c>
      <c r="G74" s="4"/>
    </row>
    <row r="75" spans="1:7" x14ac:dyDescent="0.25">
      <c r="A75" t="str" cm="1">
        <f t="array" ref="A75">_xlfn.IFS(C1="Decimal",(IF(INT(RIGHT(CONCATENATE(IF($C$2&lt;10,CONCATENATE("0",$C$2),$C$2),".","070"),3))&lt;($C$3+1),CONCATENATE(IF($C$2&lt;10,CONCATENATE("0",$C$2),$C$2),".","070"),"")),C1="Hex",(IF(INT(RIGHT(CONCATENATE(IF($C$2&lt;10,CONCATENATE("0",$C$2),$C$2),".","070"),3))&lt;($C$3+1),CONCATENATE(DEC2HEX($C$2),".","070"),"")))</f>
        <v/>
      </c>
      <c r="B75" s="7" t="s">
        <v>11</v>
      </c>
      <c r="C75" t="str">
        <f t="shared" si="1"/>
        <v/>
      </c>
      <c r="D75" s="6"/>
      <c r="E75" s="6" t="str">
        <f>IFERROR(VLOOKUP(D75,Lists!C:D,2,FALSE),"")</f>
        <v/>
      </c>
      <c r="F75" t="str">
        <f>IFERROR(VLOOKUP(D75,Lists!C:E,3,FALSE),"")</f>
        <v/>
      </c>
      <c r="G75" s="2"/>
    </row>
    <row r="76" spans="1:7" x14ac:dyDescent="0.25">
      <c r="A76" t="str" cm="1">
        <f t="array" ref="A76">_xlfn.IFS(C1="Decimal",(IF(INT(RIGHT(CONCATENATE(IF($C$2&lt;10,CONCATENATE("0",$C$2),$C$2),".","071"),3))&lt;($C$3+1),CONCATENATE(IF($C$2&lt;10,CONCATENATE("0",$C$2),$C$2),".","071"),"")),C1="Hex",(IF(INT(RIGHT(CONCATENATE(IF($C$2&lt;10,CONCATENATE("0",$C$2),$C$2),".","071"),3))&lt;($C$3+1),CONCATENATE(DEC2HEX($C$2),".","071"),"")))</f>
        <v/>
      </c>
      <c r="B76" s="7" t="s">
        <v>11</v>
      </c>
      <c r="C76" t="str">
        <f t="shared" si="1"/>
        <v/>
      </c>
      <c r="D76" s="6"/>
      <c r="E76" s="6" t="str">
        <f>IFERROR(VLOOKUP(D76,Lists!C:D,2,FALSE),"")</f>
        <v/>
      </c>
      <c r="F76" t="str">
        <f>IFERROR(VLOOKUP(D76,Lists!C:E,3,FALSE),"")</f>
        <v/>
      </c>
      <c r="G76" s="2"/>
    </row>
    <row r="77" spans="1:7" x14ac:dyDescent="0.25">
      <c r="A77" t="str" cm="1">
        <f t="array" ref="A77">_xlfn.IFS(C1="Decimal",(IF(INT(RIGHT(CONCATENATE(IF($C$2&lt;10,CONCATENATE("0",$C$2),$C$2),".","072"),3))&lt;($C$3+1),CONCATENATE(IF($C$2&lt;10,CONCATENATE("0",$C$2),$C$2),".","072"),"")),C1="Hex",(IF(INT(RIGHT(CONCATENATE(IF($C$2&lt;10,CONCATENATE("0",$C$2),$C$2),".","072"),3))&lt;($C$3+1),CONCATENATE(DEC2HEX($C$2),".","072"),"")))</f>
        <v/>
      </c>
      <c r="B77" s="7" t="s">
        <v>11</v>
      </c>
      <c r="C77" t="str">
        <f t="shared" si="1"/>
        <v/>
      </c>
      <c r="D77" s="6"/>
      <c r="E77" s="6" t="str">
        <f>IFERROR(VLOOKUP(D77,Lists!C:D,2,FALSE),"")</f>
        <v/>
      </c>
      <c r="F77" t="str">
        <f>IFERROR(VLOOKUP(D77,Lists!C:E,3,FALSE),"")</f>
        <v/>
      </c>
      <c r="G77" s="2"/>
    </row>
    <row r="78" spans="1:7" x14ac:dyDescent="0.25">
      <c r="A78" t="str" cm="1">
        <f t="array" ref="A78">_xlfn.IFS(C1="Decimal",(IF(INT(RIGHT(CONCATENATE(IF($C$2&lt;10,CONCATENATE("0",$C$2),$C$2),".","073"),3))&lt;($C$3+1),CONCATENATE(IF($C$2&lt;10,CONCATENATE("0",$C$2),$C$2),".","073"),"")),C1="Hex",(IF(INT(RIGHT(CONCATENATE(IF($C$2&lt;10,CONCATENATE("0",$C$2),$C$2),".","073"),3))&lt;($C$3+1),CONCATENATE(DEC2HEX($C$2),".","073"),"")))</f>
        <v/>
      </c>
      <c r="B78" s="7" t="s">
        <v>11</v>
      </c>
      <c r="C78" t="str">
        <f t="shared" si="1"/>
        <v/>
      </c>
      <c r="D78" s="6"/>
      <c r="E78" s="6" t="str">
        <f>IFERROR(VLOOKUP(D78,Lists!C:D,2,FALSE),"")</f>
        <v/>
      </c>
      <c r="F78" t="str">
        <f>IFERROR(VLOOKUP(D78,Lists!C:E,3,FALSE),"")</f>
        <v/>
      </c>
      <c r="G78" s="4"/>
    </row>
    <row r="79" spans="1:7" x14ac:dyDescent="0.25">
      <c r="A79" t="str" cm="1">
        <f t="array" ref="A79">_xlfn.IFS(C1="Decimal",(IF(INT(RIGHT(CONCATENATE(IF($C$2&lt;10,CONCATENATE("0",$C$2),$C$2),".","074"),3))&lt;($C$3+1),CONCATENATE(IF($C$2&lt;10,CONCATENATE("0",$C$2),$C$2),".","074"),"")),C1="Hex",(IF(INT(RIGHT(CONCATENATE(IF($C$2&lt;10,CONCATENATE("0",$C$2),$C$2),".","074"),3))&lt;($C$3+1),CONCATENATE(DEC2HEX($C$2),".","074"),"")))</f>
        <v/>
      </c>
      <c r="B79" s="7" t="s">
        <v>11</v>
      </c>
      <c r="C79" t="str">
        <f t="shared" si="1"/>
        <v/>
      </c>
      <c r="D79" s="6"/>
      <c r="E79" s="6" t="str">
        <f>IFERROR(VLOOKUP(D79,Lists!C:D,2,FALSE),"")</f>
        <v/>
      </c>
      <c r="F79" t="str">
        <f>IFERROR(VLOOKUP(D79,Lists!C:E,3,FALSE),"")</f>
        <v/>
      </c>
      <c r="G79" s="2"/>
    </row>
    <row r="80" spans="1:7" x14ac:dyDescent="0.25">
      <c r="A80" t="str" cm="1">
        <f t="array" ref="A80">_xlfn.IFS(C1="Decimal",(IF(INT(RIGHT(CONCATENATE(IF($C$2&lt;10,CONCATENATE("0",$C$2),$C$2),".","075"),3))&lt;($C$3+1),CONCATENATE(IF($C$2&lt;10,CONCATENATE("0",$C$2),$C$2),".","075"),"")),C1="Hex",(IF(INT(RIGHT(CONCATENATE(IF($C$2&lt;10,CONCATENATE("0",$C$2),$C$2),".","075"),3))&lt;($C$3+1),CONCATENATE(DEC2HEX($C$2),".","075"),"")))</f>
        <v/>
      </c>
      <c r="B80" s="7" t="s">
        <v>11</v>
      </c>
      <c r="C80" t="str">
        <f t="shared" si="1"/>
        <v/>
      </c>
      <c r="D80" s="6"/>
      <c r="E80" s="6" t="str">
        <f>IFERROR(VLOOKUP(D80,Lists!C:D,2,FALSE),"")</f>
        <v/>
      </c>
      <c r="F80" t="str">
        <f>IFERROR(VLOOKUP(D80,Lists!C:E,3,FALSE),"")</f>
        <v/>
      </c>
      <c r="G80" s="2"/>
    </row>
    <row r="81" spans="1:7" x14ac:dyDescent="0.25">
      <c r="A81" t="str" cm="1">
        <f t="array" ref="A81">_xlfn.IFS(C1="Decimal",(IF(INT(RIGHT(CONCATENATE(IF($C$2&lt;10,CONCATENATE("0",$C$2),$C$2),".","076"),3))&lt;($C$3+1),CONCATENATE(IF($C$2&lt;10,CONCATENATE("0",$C$2),$C$2),".","076"),"")),C1="Hex",(IF(INT(RIGHT(CONCATENATE(IF($C$2&lt;10,CONCATENATE("0",$C$2),$C$2),".","076"),3))&lt;($C$3+1),CONCATENATE(DEC2HEX($C$2),".","076"),"")))</f>
        <v/>
      </c>
      <c r="B81" s="7" t="s">
        <v>11</v>
      </c>
      <c r="C81" t="str">
        <f t="shared" si="1"/>
        <v/>
      </c>
      <c r="D81" s="6"/>
      <c r="E81" s="6" t="str">
        <f>IFERROR(VLOOKUP(D81,Lists!C:D,2,FALSE),"")</f>
        <v/>
      </c>
      <c r="F81" t="str">
        <f>IFERROR(VLOOKUP(D81,Lists!C:E,3,FALSE),"")</f>
        <v/>
      </c>
      <c r="G81" s="2"/>
    </row>
    <row r="82" spans="1:7" x14ac:dyDescent="0.25">
      <c r="A82" t="str" cm="1">
        <f t="array" ref="A82">_xlfn.IFS(C1="Decimal",(IF(INT(RIGHT(CONCATENATE(IF($C$2&lt;10,CONCATENATE("0",$C$2),$C$2),".","077"),3))&lt;($C$3+1),CONCATENATE(IF($C$2&lt;10,CONCATENATE("0",$C$2),$C$2),".","077"),"")),C1="Hex",(IF(INT(RIGHT(CONCATENATE(IF($C$2&lt;10,CONCATENATE("0",$C$2),$C$2),".","077"),3))&lt;($C$3+1),CONCATENATE(DEC2HEX($C$2),".","077"),"")))</f>
        <v/>
      </c>
      <c r="B82" s="7" t="s">
        <v>11</v>
      </c>
      <c r="C82" t="str">
        <f t="shared" si="1"/>
        <v/>
      </c>
      <c r="D82" s="6"/>
      <c r="E82" s="6" t="str">
        <f>IFERROR(VLOOKUP(D82,Lists!C:D,2,FALSE),"")</f>
        <v/>
      </c>
      <c r="F82" t="str">
        <f>IFERROR(VLOOKUP(D82,Lists!C:E,3,FALSE),"")</f>
        <v/>
      </c>
      <c r="G82" s="4"/>
    </row>
    <row r="83" spans="1:7" x14ac:dyDescent="0.25">
      <c r="A83" t="str" cm="1">
        <f t="array" ref="A83">_xlfn.IFS(C1="Decimal",(IF(INT(RIGHT(CONCATENATE(IF($C$2&lt;10,CONCATENATE("0",$C$2),$C$2),".","078"),3))&lt;($C$3+1),CONCATENATE(IF($C$2&lt;10,CONCATENATE("0",$C$2),$C$2),".","078"),"")),C1="Hex",(IF(INT(RIGHT(CONCATENATE(IF($C$2&lt;10,CONCATENATE("0",$C$2),$C$2),".","078"),3))&lt;($C$3+1),CONCATENATE(DEC2HEX($C$2),".","078"),"")))</f>
        <v/>
      </c>
      <c r="B83" s="7" t="s">
        <v>11</v>
      </c>
      <c r="C83" t="str">
        <f t="shared" si="1"/>
        <v/>
      </c>
      <c r="D83" s="6"/>
      <c r="E83" s="6" t="str">
        <f>IFERROR(VLOOKUP(D83,Lists!C:D,2,FALSE),"")</f>
        <v/>
      </c>
      <c r="F83" t="str">
        <f>IFERROR(VLOOKUP(D83,Lists!C:E,3,FALSE),"")</f>
        <v/>
      </c>
      <c r="G83" s="2"/>
    </row>
    <row r="84" spans="1:7" x14ac:dyDescent="0.25">
      <c r="A84" t="str" cm="1">
        <f t="array" ref="A84">_xlfn.IFS(C1="Decimal",(IF(INT(RIGHT(CONCATENATE(IF($C$2&lt;10,CONCATENATE("0",$C$2),$C$2),".","079"),3))&lt;($C$3+1),CONCATENATE(IF($C$2&lt;10,CONCATENATE("0",$C$2),$C$2),".","079"),"")),C1="Hex",(IF(INT(RIGHT(CONCATENATE(IF($C$2&lt;10,CONCATENATE("0",$C$2),$C$2),".","079"),3))&lt;($C$3+1),CONCATENATE(DEC2HEX($C$2),".","079"),"")))</f>
        <v/>
      </c>
      <c r="B84" s="7" t="s">
        <v>11</v>
      </c>
      <c r="C84" t="str">
        <f t="shared" si="1"/>
        <v/>
      </c>
      <c r="D84" s="6"/>
      <c r="E84" s="6" t="str">
        <f>IFERROR(VLOOKUP(D84,Lists!C:D,2,FALSE),"")</f>
        <v/>
      </c>
      <c r="F84" t="str">
        <f>IFERROR(VLOOKUP(D84,Lists!C:E,3,FALSE),"")</f>
        <v/>
      </c>
      <c r="G84" s="2"/>
    </row>
    <row r="85" spans="1:7" x14ac:dyDescent="0.25">
      <c r="A85" t="str" cm="1">
        <f t="array" ref="A85">_xlfn.IFS(C1="Decimal",(IF(INT(RIGHT(CONCATENATE(IF($C$2&lt;10,CONCATENATE("0",$C$2),$C$2),".","080"),3))&lt;($C$3+1),CONCATENATE(IF($C$2&lt;10,CONCATENATE("0",$C$2),$C$2),".","080"),"")),C1="Hex",(IF(INT(RIGHT(CONCATENATE(IF($C$2&lt;10,CONCATENATE("0",$C$2),$C$2),".","080"),3))&lt;($C$3+1),CONCATENATE(DEC2HEX($C$2),".","080"),"")))</f>
        <v/>
      </c>
      <c r="B85" s="7" t="s">
        <v>11</v>
      </c>
      <c r="C85" t="str">
        <f t="shared" si="1"/>
        <v/>
      </c>
      <c r="D85" s="6"/>
      <c r="E85" s="6" t="str">
        <f>IFERROR(VLOOKUP(D85,Lists!C:D,2,FALSE),"")</f>
        <v/>
      </c>
      <c r="F85" t="str">
        <f>IFERROR(VLOOKUP(D85,Lists!C:E,3,FALSE),"")</f>
        <v/>
      </c>
      <c r="G85" s="2"/>
    </row>
    <row r="86" spans="1:7" x14ac:dyDescent="0.25">
      <c r="A86" t="str" cm="1">
        <f t="array" ref="A86">_xlfn.IFS(C1="Decimal",(IF(INT(RIGHT(CONCATENATE(IF($C$2&lt;10,CONCATENATE("0",$C$2),$C$2),".","081"),3))&lt;($C$3+1),CONCATENATE(IF($C$2&lt;10,CONCATENATE("0",$C$2),$C$2),".","081"),"")),C1="Hex",(IF(INT(RIGHT(CONCATENATE(IF($C$2&lt;10,CONCATENATE("0",$C$2),$C$2),".","081"),3))&lt;($C$3+1),CONCATENATE(DEC2HEX($C$2),".","081"),"")))</f>
        <v/>
      </c>
      <c r="B86" s="7" t="s">
        <v>11</v>
      </c>
      <c r="C86" t="str">
        <f t="shared" si="1"/>
        <v/>
      </c>
      <c r="D86" s="6"/>
      <c r="E86" s="6" t="str">
        <f>IFERROR(VLOOKUP(D86,Lists!C:D,2,FALSE),"")</f>
        <v/>
      </c>
      <c r="F86" t="str">
        <f>IFERROR(VLOOKUP(D86,Lists!C:E,3,FALSE),"")</f>
        <v/>
      </c>
      <c r="G86" s="4"/>
    </row>
    <row r="87" spans="1:7" x14ac:dyDescent="0.25">
      <c r="A87" t="str" cm="1">
        <f t="array" ref="A87">_xlfn.IFS(C1="Decimal",(IF(INT(RIGHT(CONCATENATE(IF($C$2&lt;10,CONCATENATE("0",$C$2),$C$2),".","082"),3))&lt;($C$3+1),CONCATENATE(IF($C$2&lt;10,CONCATENATE("0",$C$2),$C$2),".","082"),"")),C1="Hex",(IF(INT(RIGHT(CONCATENATE(IF($C$2&lt;10,CONCATENATE("0",$C$2),$C$2),".","082"),3))&lt;($C$3+1),CONCATENATE(DEC2HEX($C$2),".","082"),"")))</f>
        <v/>
      </c>
      <c r="B87" s="7" t="s">
        <v>11</v>
      </c>
      <c r="C87" t="str">
        <f t="shared" si="1"/>
        <v/>
      </c>
      <c r="D87" s="6"/>
      <c r="E87" s="6" t="str">
        <f>IFERROR(VLOOKUP(D87,Lists!C:D,2,FALSE),"")</f>
        <v/>
      </c>
      <c r="F87" t="str">
        <f>IFERROR(VLOOKUP(D87,Lists!C:E,3,FALSE),"")</f>
        <v/>
      </c>
      <c r="G87" s="2"/>
    </row>
    <row r="88" spans="1:7" x14ac:dyDescent="0.25">
      <c r="A88" t="str" cm="1">
        <f t="array" ref="A88">_xlfn.IFS(C1="Decimal",(IF(INT(RIGHT(CONCATENATE(IF($C$2&lt;10,CONCATENATE("0",$C$2),$C$2),".","083"),3))&lt;($C$3+1),CONCATENATE(IF($C$2&lt;10,CONCATENATE("0",$C$2),$C$2),".","083"),"")),C1="Hex",(IF(INT(RIGHT(CONCATENATE(IF($C$2&lt;10,CONCATENATE("0",$C$2),$C$2),".","083"),3))&lt;($C$3+1),CONCATENATE(DEC2HEX($C$2),".","083"),"")))</f>
        <v/>
      </c>
      <c r="B88" s="7" t="s">
        <v>11</v>
      </c>
      <c r="C88" t="str">
        <f t="shared" si="1"/>
        <v/>
      </c>
      <c r="D88" s="6"/>
      <c r="E88" s="6" t="str">
        <f>IFERROR(VLOOKUP(D88,Lists!C:D,2,FALSE),"")</f>
        <v/>
      </c>
      <c r="F88" t="str">
        <f>IFERROR(VLOOKUP(D88,Lists!C:E,3,FALSE),"")</f>
        <v/>
      </c>
      <c r="G88" s="2"/>
    </row>
    <row r="89" spans="1:7" x14ac:dyDescent="0.25">
      <c r="A89" t="str" cm="1">
        <f t="array" ref="A89">_xlfn.IFS(C1="Decimal",(IF(INT(RIGHT(CONCATENATE(IF($C$2&lt;10,CONCATENATE("0",$C$2),$C$2),".","084"),3))&lt;($C$3+1),CONCATENATE(IF($C$2&lt;10,CONCATENATE("0",$C$2),$C$2),".","084"),"")),C1="Hex",(IF(INT(RIGHT(CONCATENATE(IF($C$2&lt;10,CONCATENATE("0",$C$2),$C$2),".","084"),3))&lt;($C$3+1),CONCATENATE(DEC2HEX($C$2),".","084"),"")))</f>
        <v/>
      </c>
      <c r="B89" s="7" t="s">
        <v>11</v>
      </c>
      <c r="C89" t="str">
        <f t="shared" si="1"/>
        <v/>
      </c>
      <c r="D89" s="6"/>
      <c r="E89" s="6" t="str">
        <f>IFERROR(VLOOKUP(D89,Lists!C:D,2,FALSE),"")</f>
        <v/>
      </c>
      <c r="F89" t="str">
        <f>IFERROR(VLOOKUP(D89,Lists!C:E,3,FALSE),"")</f>
        <v/>
      </c>
      <c r="G89" s="2"/>
    </row>
    <row r="90" spans="1:7" x14ac:dyDescent="0.25">
      <c r="A90" t="str" cm="1">
        <f t="array" ref="A90">_xlfn.IFS(C1="Decimal",(IF(INT(RIGHT(CONCATENATE(IF($C$2&lt;10,CONCATENATE("0",$C$2),$C$2),".","085"),3))&lt;($C$3+1),CONCATENATE(IF($C$2&lt;10,CONCATENATE("0",$C$2),$C$2),".","085"),"")),C1="Hex",(IF(INT(RIGHT(CONCATENATE(IF($C$2&lt;10,CONCATENATE("0",$C$2),$C$2),".","085"),3))&lt;($C$3+1),CONCATENATE(DEC2HEX($C$2),".","085"),"")))</f>
        <v/>
      </c>
      <c r="B90" s="7" t="s">
        <v>11</v>
      </c>
      <c r="C90" t="str">
        <f t="shared" si="1"/>
        <v/>
      </c>
      <c r="D90" s="6"/>
      <c r="E90" s="6" t="str">
        <f>IFERROR(VLOOKUP(D90,Lists!C:D,2,FALSE),"")</f>
        <v/>
      </c>
      <c r="F90" t="str">
        <f>IFERROR(VLOOKUP(D90,Lists!C:E,3,FALSE),"")</f>
        <v/>
      </c>
      <c r="G90" s="4"/>
    </row>
    <row r="91" spans="1:7" x14ac:dyDescent="0.25">
      <c r="A91" t="str" cm="1">
        <f t="array" ref="A91">_xlfn.IFS(C1="Decimal",(IF(INT(RIGHT(CONCATENATE(IF($C$2&lt;10,CONCATENATE("0",$C$2),$C$2),".","086"),3))&lt;($C$3+1),CONCATENATE(IF($C$2&lt;10,CONCATENATE("0",$C$2),$C$2),".","086"),"")),C1="Hex",(IF(INT(RIGHT(CONCATENATE(IF($C$2&lt;10,CONCATENATE("0",$C$2),$C$2),".","086"),3))&lt;($C$3+1),CONCATENATE(DEC2HEX($C$2),".","086"),"")))</f>
        <v/>
      </c>
      <c r="B91" s="7" t="s">
        <v>11</v>
      </c>
      <c r="C91" t="str">
        <f t="shared" si="1"/>
        <v/>
      </c>
      <c r="D91" s="6"/>
      <c r="E91" s="6" t="str">
        <f>IFERROR(VLOOKUP(D91,Lists!C:D,2,FALSE),"")</f>
        <v/>
      </c>
      <c r="F91" t="str">
        <f>IFERROR(VLOOKUP(D91,Lists!C:E,3,FALSE),"")</f>
        <v/>
      </c>
      <c r="G91" s="2"/>
    </row>
    <row r="92" spans="1:7" x14ac:dyDescent="0.25">
      <c r="A92" t="str" cm="1">
        <f t="array" ref="A92">_xlfn.IFS(C1="Decimal",(IF(INT(RIGHT(CONCATENATE(IF($C$2&lt;10,CONCATENATE("0",$C$2),$C$2),".","087"),3))&lt;($C$3+1),CONCATENATE(IF($C$2&lt;10,CONCATENATE("0",$C$2),$C$2),".","087"),"")),C1="Hex",(IF(INT(RIGHT(CONCATENATE(IF($C$2&lt;10,CONCATENATE("0",$C$2),$C$2),".","087"),3))&lt;($C$3+1),CONCATENATE(DEC2HEX($C$2),".","087"),"")))</f>
        <v/>
      </c>
      <c r="B92" s="7" t="s">
        <v>11</v>
      </c>
      <c r="C92" t="str">
        <f t="shared" si="1"/>
        <v/>
      </c>
      <c r="D92" s="6"/>
      <c r="E92" s="6" t="str">
        <f>IFERROR(VLOOKUP(D92,Lists!C:D,2,FALSE),"")</f>
        <v/>
      </c>
      <c r="F92" t="str">
        <f>IFERROR(VLOOKUP(D92,Lists!C:E,3,FALSE),"")</f>
        <v/>
      </c>
      <c r="G92" s="2"/>
    </row>
    <row r="93" spans="1:7" x14ac:dyDescent="0.25">
      <c r="A93" t="str" cm="1">
        <f t="array" ref="A93">_xlfn.IFS(C1="Decimal",(IF(INT(RIGHT(CONCATENATE(IF($C$2&lt;10,CONCATENATE("0",$C$2),$C$2),".","088"),3))&lt;($C$3+1),CONCATENATE(IF($C$2&lt;10,CONCATENATE("0",$C$2),$C$2),".","088"),"")),C1="Hex",(IF(INT(RIGHT(CONCATENATE(IF($C$2&lt;10,CONCATENATE("0",$C$2),$C$2),".","088"),3))&lt;($C$3+1),CONCATENATE(DEC2HEX($C$2),".","088"),"")))</f>
        <v/>
      </c>
      <c r="B93" s="7" t="s">
        <v>11</v>
      </c>
      <c r="C93" t="str">
        <f t="shared" si="1"/>
        <v/>
      </c>
      <c r="D93" s="6"/>
      <c r="E93" s="6" t="str">
        <f>IFERROR(VLOOKUP(D93,Lists!C:D,2,FALSE),"")</f>
        <v/>
      </c>
      <c r="F93" t="str">
        <f>IFERROR(VLOOKUP(D93,Lists!C:E,3,FALSE),"")</f>
        <v/>
      </c>
      <c r="G93" s="2"/>
    </row>
    <row r="94" spans="1:7" x14ac:dyDescent="0.25">
      <c r="A94" s="5" t="str" cm="1">
        <f t="array" ref="A94">_xlfn.IFS(C1="Decimal",(IF(INT(RIGHT(CONCATENATE(IF($C$2&lt;10,CONCATENATE("0",$C$2),$C$2),".","089"),3))&lt;($C$3+1),CONCATENATE(IF($C$2&lt;10,CONCATENATE("0",$C$2),$C$2),".","089"),"")),C1="Hex",(IF(INT(RIGHT(CONCATENATE(IF($C$2&lt;10,CONCATENATE("0",$C$2),$C$2),".","089"),3))&lt;($C$3+1),CONCATENATE(DEC2HEX($C$2),".","089"),"")))</f>
        <v/>
      </c>
      <c r="B94" s="7" t="s">
        <v>11</v>
      </c>
      <c r="C94" t="str">
        <f t="shared" si="1"/>
        <v/>
      </c>
      <c r="D94" s="6"/>
      <c r="E94" s="6" t="str">
        <f>IFERROR(VLOOKUP(D94,Lists!C:D,2,FALSE),"")</f>
        <v/>
      </c>
      <c r="F94" t="str">
        <f>IFERROR(VLOOKUP(D94,Lists!C:E,3,FALSE),"")</f>
        <v/>
      </c>
      <c r="G94" s="4"/>
    </row>
    <row r="95" spans="1:7" x14ac:dyDescent="0.25">
      <c r="A95" t="str" cm="1">
        <f t="array" ref="A95">_xlfn.IFS(C1="Decimal",(IF(INT(RIGHT(CONCATENATE(IF($C$2&lt;10,CONCATENATE("0",$C$2),$C$2),".","090"),3))&lt;($C$3+1),CONCATENATE(IF($C$2&lt;10,CONCATENATE("0",$C$2),$C$2),".","090"),"")),C1="Hex",(IF(INT(RIGHT(CONCATENATE(IF($C$2&lt;10,CONCATENATE("0",$C$2),$C$2),".","090"),3))&lt;($C$3+1),CONCATENATE(DEC2HEX($C$2),".","090"),"")))</f>
        <v/>
      </c>
      <c r="B95" s="7" t="s">
        <v>11</v>
      </c>
      <c r="C95" t="str">
        <f t="shared" si="1"/>
        <v/>
      </c>
      <c r="D95" s="6"/>
      <c r="E95" s="6" t="str">
        <f>IFERROR(VLOOKUP(D95,Lists!C:D,2,FALSE),"")</f>
        <v/>
      </c>
      <c r="F95" t="str">
        <f>IFERROR(VLOOKUP(D95,Lists!C:E,3,FALSE),"")</f>
        <v/>
      </c>
      <c r="G95" s="2"/>
    </row>
    <row r="96" spans="1:7" x14ac:dyDescent="0.25">
      <c r="A96" t="str" cm="1">
        <f t="array" ref="A96">_xlfn.IFS(C1="Decimal",(IF(INT(RIGHT(CONCATENATE(IF($C$2&lt;10,CONCATENATE("0",$C$2),$C$2),".","091"),3))&lt;($C$3+1),CONCATENATE(IF($C$2&lt;10,CONCATENATE("0",$C$2),$C$2),".","091"),"")),C1="Hex",(IF(INT(RIGHT(CONCATENATE(IF($C$2&lt;10,CONCATENATE("0",$C$2),$C$2),".","091"),3))&lt;($C$3+1),CONCATENATE(DEC2HEX($C$2),".","091"),"")))</f>
        <v/>
      </c>
      <c r="B96" s="7" t="s">
        <v>11</v>
      </c>
      <c r="C96" t="str">
        <f t="shared" si="1"/>
        <v/>
      </c>
      <c r="D96" s="6"/>
      <c r="E96" s="6" t="str">
        <f>IFERROR(VLOOKUP(D96,Lists!C:D,2,FALSE),"")</f>
        <v/>
      </c>
      <c r="F96" t="str">
        <f>IFERROR(VLOOKUP(D96,Lists!C:E,3,FALSE),"")</f>
        <v/>
      </c>
      <c r="G96" s="2"/>
    </row>
    <row r="97" spans="1:7" x14ac:dyDescent="0.25">
      <c r="A97" t="str" cm="1">
        <f t="array" ref="A97">_xlfn.IFS(C1="Decimal",(IF(INT(RIGHT(CONCATENATE(IF($C$2&lt;10,CONCATENATE("0",$C$2),$C$2),".","092"),3))&lt;($C$3+1),CONCATENATE(IF($C$2&lt;10,CONCATENATE("0",$C$2),$C$2),".","092"),"")),C1="Hex",(IF(INT(RIGHT(CONCATENATE(IF($C$2&lt;10,CONCATENATE("0",$C$2),$C$2),".","092"),3))&lt;($C$3+1),CONCATENATE(DEC2HEX($C$2),".","092"),"")))</f>
        <v/>
      </c>
      <c r="B97" s="7" t="s">
        <v>11</v>
      </c>
      <c r="C97" t="str">
        <f t="shared" si="1"/>
        <v/>
      </c>
      <c r="D97" s="6"/>
      <c r="E97" s="6" t="str">
        <f>IFERROR(VLOOKUP(D97,Lists!C:D,2,FALSE),"")</f>
        <v/>
      </c>
      <c r="F97" t="str">
        <f>IFERROR(VLOOKUP(D97,Lists!C:E,3,FALSE),"")</f>
        <v/>
      </c>
      <c r="G97" s="2"/>
    </row>
    <row r="98" spans="1:7" x14ac:dyDescent="0.25">
      <c r="A98" t="str" cm="1">
        <f t="array" ref="A98">_xlfn.IFS(C1="Decimal",(IF(INT(RIGHT(CONCATENATE(IF($C$2&lt;10,CONCATENATE("0",$C$2),$C$2),".","093"),3))&lt;($C$3+1),CONCATENATE(IF($C$2&lt;10,CONCATENATE("0",$C$2),$C$2),".","093"),"")),C1="Hex",(IF(INT(RIGHT(CONCATENATE(IF($C$2&lt;10,CONCATENATE("0",$C$2),$C$2),".","093"),3))&lt;($C$3+1),CONCATENATE(DEC2HEX($C$2),".","093"),"")))</f>
        <v/>
      </c>
      <c r="B98" s="7" t="s">
        <v>11</v>
      </c>
      <c r="C98" t="str">
        <f t="shared" si="1"/>
        <v/>
      </c>
      <c r="D98" s="6"/>
      <c r="E98" s="6" t="str">
        <f>IFERROR(VLOOKUP(D98,Lists!C:D,2,FALSE),"")</f>
        <v/>
      </c>
      <c r="F98" t="str">
        <f>IFERROR(VLOOKUP(D98,Lists!C:E,3,FALSE),"")</f>
        <v/>
      </c>
      <c r="G98" s="4"/>
    </row>
    <row r="99" spans="1:7" x14ac:dyDescent="0.25">
      <c r="A99" t="str" cm="1">
        <f t="array" ref="A99">_xlfn.IFS(C1="Decimal",(IF(INT(RIGHT(CONCATENATE(IF($C$2&lt;10,CONCATENATE("0",$C$2),$C$2),".","094"),3))&lt;($C$3+1),CONCATENATE(IF($C$2&lt;10,CONCATENATE("0",$C$2),$C$2),".","094"),"")),C1="Hex",(IF(INT(RIGHT(CONCATENATE(IF($C$2&lt;10,CONCATENATE("0",$C$2),$C$2),".","094"),3))&lt;($C$3+1),CONCATENATE(DEC2HEX($C$2),".","094"),"")))</f>
        <v/>
      </c>
      <c r="B99" s="7" t="s">
        <v>11</v>
      </c>
      <c r="C99" t="str">
        <f t="shared" si="1"/>
        <v/>
      </c>
      <c r="D99" s="6"/>
      <c r="E99" s="6" t="str">
        <f>IFERROR(VLOOKUP(D99,Lists!C:D,2,FALSE),"")</f>
        <v/>
      </c>
      <c r="F99" t="str">
        <f>IFERROR(VLOOKUP(D99,Lists!C:E,3,FALSE),"")</f>
        <v/>
      </c>
      <c r="G99" s="2"/>
    </row>
    <row r="100" spans="1:7" x14ac:dyDescent="0.25">
      <c r="A100" t="str" cm="1">
        <f t="array" ref="A100">_xlfn.IFS(C1="Decimal",(IF(INT(RIGHT(CONCATENATE(IF($C$2&lt;10,CONCATENATE("0",$C$2),$C$2),".","095"),3))&lt;($C$3+1),CONCATENATE(IF($C$2&lt;10,CONCATENATE("0",$C$2),$C$2),".","095"),"")),C1="Hex",(IF(INT(RIGHT(CONCATENATE(IF($C$2&lt;10,CONCATENATE("0",$C$2),$C$2),".","095"),3))&lt;($C$3+1),CONCATENATE(DEC2HEX($C$2),".","095"),"")))</f>
        <v/>
      </c>
      <c r="B100" s="7" t="s">
        <v>11</v>
      </c>
      <c r="C100" t="str">
        <f t="shared" si="1"/>
        <v/>
      </c>
      <c r="D100" s="6"/>
      <c r="E100" s="6" t="str">
        <f>IFERROR(VLOOKUP(D100,Lists!C:D,2,FALSE),"")</f>
        <v/>
      </c>
      <c r="F100" t="str">
        <f>IFERROR(VLOOKUP(D100,Lists!C:E,3,FALSE),"")</f>
        <v/>
      </c>
      <c r="G100" s="2"/>
    </row>
    <row r="101" spans="1:7" x14ac:dyDescent="0.25">
      <c r="A101" t="str" cm="1">
        <f t="array" ref="A101">_xlfn.IFS(C1="Decimal",(IF(INT(RIGHT(CONCATENATE(IF($C$2&lt;10,CONCATENATE("0",$C$2),$C$2),".","096"),3))&lt;($C$3+1),CONCATENATE(IF($C$2&lt;10,CONCATENATE("0",$C$2),$C$2),".","096"),"")),C1="Hex",(IF(INT(RIGHT(CONCATENATE(IF($C$2&lt;10,CONCATENATE("0",$C$2),$C$2),".","096"),3))&lt;($C$3+1),CONCATENATE(DEC2HEX($C$2),".","096"),"")))</f>
        <v/>
      </c>
      <c r="B101" s="7" t="s">
        <v>11</v>
      </c>
      <c r="C101" t="str">
        <f t="shared" si="1"/>
        <v/>
      </c>
      <c r="D101" s="6"/>
      <c r="E101" s="6" t="str">
        <f>IFERROR(VLOOKUP(D101,Lists!C:D,2,FALSE),"")</f>
        <v/>
      </c>
      <c r="F101" t="str">
        <f>IFERROR(VLOOKUP(D101,Lists!C:E,3,FALSE),"")</f>
        <v/>
      </c>
      <c r="G101" s="2"/>
    </row>
    <row r="102" spans="1:7" x14ac:dyDescent="0.25">
      <c r="A102" t="str" cm="1">
        <f t="array" ref="A102">_xlfn.IFS(C1="Decimal",(IF(INT(RIGHT(CONCATENATE(IF($C$2&lt;10,CONCATENATE("0",$C$2),$C$2),".","097"),3))&lt;($C$3+1),CONCATENATE(IF($C$2&lt;10,CONCATENATE("0",$C$2),$C$2),".","097"),"")),C1="Hex",(IF(INT(RIGHT(CONCATENATE(IF($C$2&lt;10,CONCATENATE("0",$C$2),$C$2),".","097"),3))&lt;($C$3+1),CONCATENATE(DEC2HEX($C$2),".","097"),"")))</f>
        <v/>
      </c>
      <c r="B102" s="7" t="s">
        <v>11</v>
      </c>
      <c r="C102" t="str">
        <f t="shared" si="1"/>
        <v/>
      </c>
      <c r="D102" s="6"/>
      <c r="E102" s="6" t="str">
        <f>IFERROR(VLOOKUP(D102,Lists!C:D,2,FALSE),"")</f>
        <v/>
      </c>
      <c r="F102" t="str">
        <f>IFERROR(VLOOKUP(D102,Lists!C:E,3,FALSE),"")</f>
        <v/>
      </c>
      <c r="G102" s="4"/>
    </row>
    <row r="103" spans="1:7" x14ac:dyDescent="0.25">
      <c r="A103" t="str" cm="1">
        <f t="array" ref="A103">_xlfn.IFS(C1="Decimal",(IF(INT(RIGHT(CONCATENATE(IF($C$2&lt;10,CONCATENATE("0",$C$2),$C$2),".","098"),3))&lt;($C$3+1),CONCATENATE(IF($C$2&lt;10,CONCATENATE("0",$C$2),$C$2),".","098"),"")),C1="Hex",(IF(INT(RIGHT(CONCATENATE(IF($C$2&lt;10,CONCATENATE("0",$C$2),$C$2),".","098"),3))&lt;($C$3+1),CONCATENATE(DEC2HEX($C$2),".","098"),"")))</f>
        <v/>
      </c>
      <c r="B103" s="7" t="s">
        <v>11</v>
      </c>
      <c r="C103" t="str">
        <f t="shared" si="1"/>
        <v/>
      </c>
      <c r="D103" s="6"/>
      <c r="E103" s="6" t="str">
        <f>IFERROR(VLOOKUP(D103,Lists!C:D,2,FALSE),"")</f>
        <v/>
      </c>
      <c r="F103" t="str">
        <f>IFERROR(VLOOKUP(D103,Lists!C:E,3,FALSE),"")</f>
        <v/>
      </c>
      <c r="G103" s="2"/>
    </row>
    <row r="104" spans="1:7" x14ac:dyDescent="0.25">
      <c r="A104" t="str" cm="1">
        <f t="array" ref="A104">_xlfn.IFS(C1="Decimal",(IF(INT(RIGHT(CONCATENATE(IF($C$2&lt;10,CONCATENATE("0",$C$2),$C$2),".","099"),3))&lt;($C$3+1),CONCATENATE(IF($C$2&lt;10,CONCATENATE("0",$C$2),$C$2),".","099"),"")),C1="Hex",(IF(INT(RIGHT(CONCATENATE(IF($C$2&lt;10,CONCATENATE("0",$C$2),$C$2),".","099"),3))&lt;($C$3+1),CONCATENATE(DEC2HEX($C$2),".","099"),"")))</f>
        <v/>
      </c>
      <c r="B104" s="7" t="s">
        <v>11</v>
      </c>
      <c r="C104" t="str">
        <f t="shared" si="1"/>
        <v/>
      </c>
      <c r="D104" s="6"/>
      <c r="E104" s="6" t="str">
        <f>IFERROR(VLOOKUP(D104,Lists!C:D,2,FALSE),"")</f>
        <v/>
      </c>
      <c r="F104" t="str">
        <f>IFERROR(VLOOKUP(D104,Lists!C:E,3,FALSE),"")</f>
        <v/>
      </c>
      <c r="G104" s="2"/>
    </row>
    <row r="105" spans="1:7" x14ac:dyDescent="0.25">
      <c r="A105" t="str" cm="1">
        <f t="array" ref="A105">_xlfn.IFS(C1="Decimal",(IF(INT(RIGHT(CONCATENATE(IF($C$2&lt;10,CONCATENATE("0",$C$2),$C$2),".","100"),3))&lt;($C$3+1),CONCATENATE(IF($C$2&lt;10,CONCATENATE("0",$C$2),$C$2),".","100"),"")),C1="Hex",(IF(INT(RIGHT(CONCATENATE(IF($C$2&lt;10,CONCATENATE("0",$C$2),$C$2),".","100"),3))&lt;($C$3+1),CONCATENATE(DEC2HEX($C$2),".","100"),"")))</f>
        <v/>
      </c>
      <c r="B105" s="7" t="s">
        <v>11</v>
      </c>
      <c r="C105" t="str">
        <f t="shared" si="1"/>
        <v/>
      </c>
      <c r="D105" s="6"/>
      <c r="E105" s="6" t="str">
        <f>IFERROR(VLOOKUP(D105,Lists!C:D,2,FALSE),"")</f>
        <v/>
      </c>
      <c r="F105" t="str">
        <f>IFERROR(VLOOKUP(D105,Lists!C:E,3,FALSE),"")</f>
        <v/>
      </c>
      <c r="G105" s="2"/>
    </row>
    <row r="106" spans="1:7" x14ac:dyDescent="0.25">
      <c r="A106" t="str" cm="1">
        <f t="array" ref="A106">_xlfn.IFS(C1="Decimal",(IF(INT(RIGHT(CONCATENATE(IF($C$2&lt;10,CONCATENATE("0",$C$2),$C$2),".","101"),3))&lt;($C$3+1),CONCATENATE(IF($C$2&lt;10,CONCATENATE("0",$C$2),$C$2),".","101"),"")),C1="Hex",(IF(INT(RIGHT(CONCATENATE(IF($C$2&lt;10,CONCATENATE("0",$C$2),$C$2),".","101"),3))&lt;($C$3+1),CONCATENATE(DEC2HEX($C$2),".","101"),"")))</f>
        <v/>
      </c>
      <c r="B106" s="7" t="s">
        <v>11</v>
      </c>
      <c r="C106" t="str">
        <f t="shared" si="1"/>
        <v/>
      </c>
      <c r="D106" s="6"/>
      <c r="E106" s="6" t="str">
        <f>IFERROR(VLOOKUP(D106,Lists!C:D,2,FALSE),"")</f>
        <v/>
      </c>
      <c r="F106" t="str">
        <f>IFERROR(VLOOKUP(D106,Lists!C:E,3,FALSE),"")</f>
        <v/>
      </c>
      <c r="G106" s="4"/>
    </row>
    <row r="107" spans="1:7" x14ac:dyDescent="0.25">
      <c r="A107" t="str" cm="1">
        <f t="array" ref="A107">_xlfn.IFS(C1="Decimal",(IF(INT(RIGHT(CONCATENATE(IF($C$2&lt;10,CONCATENATE("0",$C$2),$C$2),".","102"),3))&lt;($C$3+1),CONCATENATE(IF($C$2&lt;10,CONCATENATE("0",$C$2),$C$2),".","102"),"")),C1="Hex",(IF(INT(RIGHT(CONCATENATE(IF($C$2&lt;10,CONCATENATE("0",$C$2),$C$2),".","102"),3))&lt;($C$3+1),CONCATENATE(DEC2HEX($C$2),".","102"),"")))</f>
        <v/>
      </c>
      <c r="B107" s="7" t="s">
        <v>11</v>
      </c>
      <c r="C107" t="str">
        <f t="shared" si="1"/>
        <v/>
      </c>
      <c r="D107" s="6"/>
      <c r="E107" s="6" t="str">
        <f>IFERROR(VLOOKUP(D107,Lists!C:D,2,FALSE),"")</f>
        <v/>
      </c>
      <c r="F107" t="str">
        <f>IFERROR(VLOOKUP(D107,Lists!C:E,3,FALSE),"")</f>
        <v/>
      </c>
      <c r="G107" s="2"/>
    </row>
    <row r="108" spans="1:7" x14ac:dyDescent="0.25">
      <c r="A108" t="str" cm="1">
        <f t="array" ref="A108">_xlfn.IFS(C1="Decimal",(IF(INT(RIGHT(CONCATENATE(IF($C$2&lt;10,CONCATENATE("0",$C$2),$C$2),".","103"),3))&lt;($C$3+1),CONCATENATE(IF($C$2&lt;10,CONCATENATE("0",$C$2),$C$2),".","103"),"")),C1="Hex",(IF(INT(RIGHT(CONCATENATE(IF($C$2&lt;10,CONCATENATE("0",$C$2),$C$2),".","103"),3))&lt;($C$3+1),CONCATENATE(DEC2HEX($C$2),".","103"),"")))</f>
        <v/>
      </c>
      <c r="B108" s="7" t="s">
        <v>11</v>
      </c>
      <c r="C108" t="str">
        <f t="shared" si="1"/>
        <v/>
      </c>
      <c r="D108" s="6"/>
      <c r="E108" s="6" t="str">
        <f>IFERROR(VLOOKUP(D108,Lists!C:D,2,FALSE),"")</f>
        <v/>
      </c>
      <c r="F108" t="str">
        <f>IFERROR(VLOOKUP(D108,Lists!C:E,3,FALSE),"")</f>
        <v/>
      </c>
      <c r="G108" s="2"/>
    </row>
    <row r="109" spans="1:7" x14ac:dyDescent="0.25">
      <c r="A109" t="str" cm="1">
        <f t="array" ref="A109">_xlfn.IFS(C1="Decimal",(IF(INT(RIGHT(CONCATENATE(IF($C$2&lt;10,CONCATENATE("0",$C$2),$C$2),".","104"),3))&lt;($C$3+1),CONCATENATE(IF($C$2&lt;10,CONCATENATE("0",$C$2),$C$2),".","104"),"")),C1="Hex",(IF(INT(RIGHT(CONCATENATE(IF($C$2&lt;10,CONCATENATE("0",$C$2),$C$2),".","104"),3))&lt;($C$3+1),CONCATENATE(DEC2HEX($C$2),".","104"),"")))</f>
        <v/>
      </c>
      <c r="B109" s="7" t="s">
        <v>11</v>
      </c>
      <c r="C109" t="str">
        <f t="shared" si="1"/>
        <v/>
      </c>
      <c r="D109" s="6"/>
      <c r="E109" s="6" t="str">
        <f>IFERROR(VLOOKUP(D109,Lists!C:D,2,FALSE),"")</f>
        <v/>
      </c>
      <c r="F109" t="str">
        <f>IFERROR(VLOOKUP(D109,Lists!C:E,3,FALSE),"")</f>
        <v/>
      </c>
      <c r="G109" s="2"/>
    </row>
    <row r="110" spans="1:7" x14ac:dyDescent="0.25">
      <c r="A110" t="str" cm="1">
        <f t="array" ref="A110">_xlfn.IFS(C1="Decimal",(IF(INT(RIGHT(CONCATENATE(IF($C$2&lt;10,CONCATENATE("0",$C$2),$C$2),".","105"),3))&lt;($C$3+1),CONCATENATE(IF($C$2&lt;10,CONCATENATE("0",$C$2),$C$2),".","105"),"")),C1="Hex",(IF(INT(RIGHT(CONCATENATE(IF($C$2&lt;10,CONCATENATE("0",$C$2),$C$2),".","105"),3))&lt;($C$3+1),CONCATENATE(DEC2HEX($C$2),".","105"),"")))</f>
        <v/>
      </c>
      <c r="B110" s="7" t="s">
        <v>11</v>
      </c>
      <c r="C110" t="str">
        <f t="shared" si="1"/>
        <v/>
      </c>
      <c r="D110" s="6"/>
      <c r="E110" s="6" t="str">
        <f>IFERROR(VLOOKUP(D110,Lists!C:D,2,FALSE),"")</f>
        <v/>
      </c>
      <c r="F110" t="str">
        <f>IFERROR(VLOOKUP(D110,Lists!C:E,3,FALSE),"")</f>
        <v/>
      </c>
      <c r="G110" s="4"/>
    </row>
    <row r="111" spans="1:7" x14ac:dyDescent="0.25">
      <c r="A111" t="str" cm="1">
        <f t="array" ref="A111">_xlfn.IFS(C1="Decimal",(IF(INT(RIGHT(CONCATENATE(IF($C$2&lt;10,CONCATENATE("0",$C$2),$C$2),".","106"),3))&lt;($C$3+1),CONCATENATE(IF($C$2&lt;10,CONCATENATE("0",$C$2),$C$2),".","106"),"")),C1="Hex",(IF(INT(RIGHT(CONCATENATE(IF($C$2&lt;10,CONCATENATE("0",$C$2),$C$2),".","106"),3))&lt;($C$3+1),CONCATENATE(DEC2HEX($C$2),".","106"),"")))</f>
        <v/>
      </c>
      <c r="B111" s="7" t="s">
        <v>11</v>
      </c>
      <c r="C111" t="str">
        <f t="shared" si="1"/>
        <v/>
      </c>
      <c r="D111" s="6"/>
      <c r="E111" s="6" t="str">
        <f>IFERROR(VLOOKUP(D111,Lists!C:D,2,FALSE),"")</f>
        <v/>
      </c>
      <c r="F111" t="str">
        <f>IFERROR(VLOOKUP(D111,Lists!C:E,3,FALSE),"")</f>
        <v/>
      </c>
      <c r="G111" s="2"/>
    </row>
    <row r="112" spans="1:7" x14ac:dyDescent="0.25">
      <c r="A112" t="str" cm="1">
        <f t="array" ref="A112">_xlfn.IFS(C1="Decimal",(IF(INT(RIGHT(CONCATENATE(IF($C$2&lt;10,CONCATENATE("0",$C$2),$C$2),".","107"),3))&lt;($C$3+1),CONCATENATE(IF($C$2&lt;10,CONCATENATE("0",$C$2),$C$2),".","107"),"")),C1="Hex",(IF(INT(RIGHT(CONCATENATE(IF($C$2&lt;10,CONCATENATE("0",$C$2),$C$2),".","107"),3))&lt;($C$3+1),CONCATENATE(DEC2HEX($C$2),".","107"),"")))</f>
        <v/>
      </c>
      <c r="B112" s="7" t="s">
        <v>11</v>
      </c>
      <c r="C112" t="str">
        <f t="shared" si="1"/>
        <v/>
      </c>
      <c r="D112" s="6"/>
      <c r="E112" s="6" t="str">
        <f>IFERROR(VLOOKUP(D112,Lists!C:D,2,FALSE),"")</f>
        <v/>
      </c>
      <c r="F112" t="str">
        <f>IFERROR(VLOOKUP(D112,Lists!C:E,3,FALSE),"")</f>
        <v/>
      </c>
      <c r="G112" s="2"/>
    </row>
    <row r="113" spans="1:7" x14ac:dyDescent="0.25">
      <c r="A113" t="str" cm="1">
        <f t="array" ref="A113">_xlfn.IFS(C1="Decimal",(IF(INT(RIGHT(CONCATENATE(IF($C$2&lt;10,CONCATENATE("0",$C$2),$C$2),".","108"),3))&lt;($C$3+1),CONCATENATE(IF($C$2&lt;10,CONCATENATE("0",$C$2),$C$2),".","108"),"")),C1="Hex",(IF(INT(RIGHT(CONCATENATE(IF($C$2&lt;10,CONCATENATE("0",$C$2),$C$2),".","108"),3))&lt;($C$3+1),CONCATENATE(DEC2HEX($C$2),".","108"),"")))</f>
        <v/>
      </c>
      <c r="B113" s="7" t="s">
        <v>11</v>
      </c>
      <c r="C113" t="str">
        <f t="shared" si="1"/>
        <v/>
      </c>
      <c r="D113" s="6"/>
      <c r="E113" s="6" t="str">
        <f>IFERROR(VLOOKUP(D113,Lists!C:D,2,FALSE),"")</f>
        <v/>
      </c>
      <c r="F113" t="str">
        <f>IFERROR(VLOOKUP(D113,Lists!C:E,3,FALSE),"")</f>
        <v/>
      </c>
      <c r="G113" s="2"/>
    </row>
    <row r="114" spans="1:7" x14ac:dyDescent="0.25">
      <c r="A114" t="str" cm="1">
        <f t="array" ref="A114">_xlfn.IFS(C1="Decimal",(IF(INT(RIGHT(CONCATENATE(IF($C$2&lt;10,CONCATENATE("0",$C$2),$C$2),".","109"),3))&lt;($C$3+1),CONCATENATE(IF($C$2&lt;10,CONCATENATE("0",$C$2),$C$2),".","109"),"")),C1="Hex",(IF(INT(RIGHT(CONCATENATE(IF($C$2&lt;10,CONCATENATE("0",$C$2),$C$2),".","109"),3))&lt;($C$3+1),CONCATENATE(DEC2HEX($C$2),".","109"),"")))</f>
        <v/>
      </c>
      <c r="B114" s="7" t="s">
        <v>11</v>
      </c>
      <c r="C114" t="str">
        <f t="shared" si="1"/>
        <v/>
      </c>
      <c r="D114" s="6"/>
      <c r="E114" s="6" t="str">
        <f>IFERROR(VLOOKUP(D114,Lists!C:D,2,FALSE),"")</f>
        <v/>
      </c>
      <c r="F114" t="str">
        <f>IFERROR(VLOOKUP(D114,Lists!C:E,3,FALSE),"")</f>
        <v/>
      </c>
      <c r="G114" s="4"/>
    </row>
    <row r="115" spans="1:7" x14ac:dyDescent="0.25">
      <c r="A115" t="str" cm="1">
        <f t="array" ref="A115">_xlfn.IFS(C1="Decimal",(IF(INT(RIGHT(CONCATENATE(IF($C$2&lt;10,CONCATENATE("0",$C$2),$C$2),".","110"),3))&lt;($C$3+1),CONCATENATE(IF($C$2&lt;10,CONCATENATE("0",$C$2),$C$2),".","110"),"")),C1="Hex",(IF(INT(RIGHT(CONCATENATE(IF($C$2&lt;10,CONCATENATE("0",$C$2),$C$2),".","110"),3))&lt;($C$3+1),CONCATENATE(DEC2HEX($C$2),".","110"),"")))</f>
        <v/>
      </c>
      <c r="B115" s="7" t="s">
        <v>11</v>
      </c>
      <c r="C115" t="str">
        <f t="shared" si="1"/>
        <v/>
      </c>
      <c r="D115" s="6"/>
      <c r="E115" s="6" t="str">
        <f>IFERROR(VLOOKUP(D115,Lists!C:D,2,FALSE),"")</f>
        <v/>
      </c>
      <c r="F115" t="str">
        <f>IFERROR(VLOOKUP(D115,Lists!C:E,3,FALSE),"")</f>
        <v/>
      </c>
      <c r="G115" s="2"/>
    </row>
    <row r="116" spans="1:7" x14ac:dyDescent="0.25">
      <c r="A116" t="str" cm="1">
        <f t="array" ref="A116">_xlfn.IFS(C1="Decimal",(IF(INT(RIGHT(CONCATENATE(IF($C$2&lt;10,CONCATENATE("0",$C$2),$C$2),".","111"),3))&lt;($C$3+1),CONCATENATE(IF($C$2&lt;10,CONCATENATE("0",$C$2),$C$2),".","111"),"")),C1="Hex",(IF(INT(RIGHT(CONCATENATE(IF($C$2&lt;10,CONCATENATE("0",$C$2),$C$2),".","111"),3))&lt;($C$3+1),CONCATENATE(DEC2HEX($C$2),".","111"),"")))</f>
        <v/>
      </c>
      <c r="B116" s="7" t="s">
        <v>11</v>
      </c>
      <c r="C116" t="str">
        <f t="shared" si="1"/>
        <v/>
      </c>
      <c r="D116" s="6"/>
      <c r="E116" s="6" t="str">
        <f>IFERROR(VLOOKUP(D116,Lists!C:D,2,FALSE),"")</f>
        <v/>
      </c>
      <c r="F116" t="str">
        <f>IFERROR(VLOOKUP(D116,Lists!C:E,3,FALSE),"")</f>
        <v/>
      </c>
      <c r="G116" s="2"/>
    </row>
    <row r="117" spans="1:7" x14ac:dyDescent="0.25">
      <c r="A117" t="str" cm="1">
        <f t="array" ref="A117">_xlfn.IFS(C1="Decimal",(IF(INT(RIGHT(CONCATENATE(IF($C$2&lt;10,CONCATENATE("0",$C$2),$C$2),".","112"),3))&lt;($C$3+1),CONCATENATE(IF($C$2&lt;10,CONCATENATE("0",$C$2),$C$2),".","112"),"")),C1="Hex",(IF(INT(RIGHT(CONCATENATE(IF($C$2&lt;10,CONCATENATE("0",$C$2),$C$2),".","112"),3))&lt;($C$3+1),CONCATENATE(DEC2HEX($C$2),".","112"),"")))</f>
        <v/>
      </c>
      <c r="B117" s="7" t="s">
        <v>11</v>
      </c>
      <c r="C117" t="str">
        <f t="shared" si="1"/>
        <v/>
      </c>
      <c r="D117" s="6"/>
      <c r="E117" s="6" t="str">
        <f>IFERROR(VLOOKUP(D117,Lists!C:D,2,FALSE),"")</f>
        <v/>
      </c>
      <c r="F117" t="str">
        <f>IFERROR(VLOOKUP(D117,Lists!C:E,3,FALSE),"")</f>
        <v/>
      </c>
      <c r="G117" s="2"/>
    </row>
    <row r="118" spans="1:7" x14ac:dyDescent="0.25">
      <c r="A118" t="str" cm="1">
        <f t="array" ref="A118">_xlfn.IFS(C1="Decimal",(IF(INT(RIGHT(CONCATENATE(IF($C$2&lt;10,CONCATENATE("0",$C$2),$C$2),".","113"),3))&lt;($C$3+1),CONCATENATE(IF($C$2&lt;10,CONCATENATE("0",$C$2),$C$2),".","113"),"")),C1="Hex",(IF(INT(RIGHT(CONCATENATE(IF($C$2&lt;10,CONCATENATE("0",$C$2),$C$2),".","113"),3))&lt;($C$3+1),CONCATENATE(DEC2HEX($C$2),".","113"),"")))</f>
        <v/>
      </c>
      <c r="B118" s="7" t="s">
        <v>11</v>
      </c>
      <c r="C118" t="str">
        <f t="shared" si="1"/>
        <v/>
      </c>
      <c r="D118" s="6"/>
      <c r="E118" s="6" t="str">
        <f>IFERROR(VLOOKUP(D118,Lists!C:D,2,FALSE),"")</f>
        <v/>
      </c>
      <c r="F118" t="str">
        <f>IFERROR(VLOOKUP(D118,Lists!C:E,3,FALSE),"")</f>
        <v/>
      </c>
      <c r="G118" s="4"/>
    </row>
    <row r="119" spans="1:7" x14ac:dyDescent="0.25">
      <c r="A119" t="str" cm="1">
        <f t="array" ref="A119">_xlfn.IFS(C1="Decimal",(IF(INT(RIGHT(CONCATENATE(IF($C$2&lt;10,CONCATENATE("0",$C$2),$C$2),".","114"),3))&lt;($C$3+1),CONCATENATE(IF($C$2&lt;10,CONCATENATE("0",$C$2),$C$2),".","114"),"")),C1="Hex",(IF(INT(RIGHT(CONCATENATE(IF($C$2&lt;10,CONCATENATE("0",$C$2),$C$2),".","114"),3))&lt;($C$3+1),CONCATENATE(DEC2HEX($C$2),".","114"),"")))</f>
        <v/>
      </c>
      <c r="B119" s="7" t="s">
        <v>11</v>
      </c>
      <c r="C119" t="str">
        <f t="shared" si="1"/>
        <v/>
      </c>
      <c r="D119" s="6"/>
      <c r="E119" s="6" t="str">
        <f>IFERROR(VLOOKUP(D119,Lists!C:D,2,FALSE),"")</f>
        <v/>
      </c>
      <c r="F119" t="str">
        <f>IFERROR(VLOOKUP(D119,Lists!C:E,3,FALSE),"")</f>
        <v/>
      </c>
      <c r="G119" s="2"/>
    </row>
    <row r="120" spans="1:7" x14ac:dyDescent="0.25">
      <c r="A120" t="str" cm="1">
        <f t="array" ref="A120">_xlfn.IFS(C1="Decimal",(IF(INT(RIGHT(CONCATENATE(IF($C$2&lt;10,CONCATENATE("0",$C$2),$C$2),".","115"),3))&lt;($C$3+1),CONCATENATE(IF($C$2&lt;10,CONCATENATE("0",$C$2),$C$2),".","115"),"")),C1="Hex",(IF(INT(RIGHT(CONCATENATE(IF($C$2&lt;10,CONCATENATE("0",$C$2),$C$2),".","115"),3))&lt;($C$3+1),CONCATENATE(DEC2HEX($C$2),".","115"),"")))</f>
        <v/>
      </c>
      <c r="B120" s="7" t="s">
        <v>11</v>
      </c>
      <c r="C120" t="str">
        <f t="shared" si="1"/>
        <v/>
      </c>
      <c r="D120" s="6"/>
      <c r="E120" s="6" t="str">
        <f>IFERROR(VLOOKUP(D120,Lists!C:D,2,FALSE),"")</f>
        <v/>
      </c>
      <c r="F120" t="str">
        <f>IFERROR(VLOOKUP(D120,Lists!C:E,3,FALSE),"")</f>
        <v/>
      </c>
      <c r="G120" s="2"/>
    </row>
    <row r="121" spans="1:7" x14ac:dyDescent="0.25">
      <c r="A121" t="str" cm="1">
        <f t="array" ref="A121">_xlfn.IFS(C1="Decimal",(IF(INT(RIGHT(CONCATENATE(IF($C$2&lt;10,CONCATENATE("0",$C$2),$C$2),".","116"),3))&lt;($C$3+1),CONCATENATE(IF($C$2&lt;10,CONCATENATE("0",$C$2),$C$2),".","116"),"")),C1="Hex",(IF(INT(RIGHT(CONCATENATE(IF($C$2&lt;10,CONCATENATE("0",$C$2),$C$2),".","116"),3))&lt;($C$3+1),CONCATENATE(DEC2HEX($C$2),".","116"),"")))</f>
        <v/>
      </c>
      <c r="B121" s="7" t="s">
        <v>11</v>
      </c>
      <c r="C121" t="str">
        <f t="shared" si="1"/>
        <v/>
      </c>
      <c r="D121" s="6"/>
      <c r="E121" s="6" t="str">
        <f>IFERROR(VLOOKUP(D121,Lists!C:D,2,FALSE),"")</f>
        <v/>
      </c>
      <c r="F121" t="str">
        <f>IFERROR(VLOOKUP(D121,Lists!C:E,3,FALSE),"")</f>
        <v/>
      </c>
      <c r="G121" s="2"/>
    </row>
    <row r="122" spans="1:7" x14ac:dyDescent="0.25">
      <c r="A122" t="str" cm="1">
        <f t="array" ref="A122">_xlfn.IFS(C1="Decimal",(IF(INT(RIGHT(CONCATENATE(IF($C$2&lt;10,CONCATENATE("0",$C$2),$C$2),".","117"),3))&lt;($C$3+1),CONCATENATE(IF($C$2&lt;10,CONCATENATE("0",$C$2),$C$2),".","117"),"")),C1="Hex",(IF(INT(RIGHT(CONCATENATE(IF($C$2&lt;10,CONCATENATE("0",$C$2),$C$2),".","117"),3))&lt;($C$3+1),CONCATENATE(DEC2HEX($C$2),".","117"),"")))</f>
        <v/>
      </c>
      <c r="B122" s="7" t="s">
        <v>11</v>
      </c>
      <c r="C122" t="str">
        <f t="shared" si="1"/>
        <v/>
      </c>
      <c r="D122" s="6"/>
      <c r="E122" s="6" t="str">
        <f>IFERROR(VLOOKUP(D122,Lists!C:D,2,FALSE),"")</f>
        <v/>
      </c>
      <c r="F122" t="str">
        <f>IFERROR(VLOOKUP(D122,Lists!C:E,3,FALSE),"")</f>
        <v/>
      </c>
      <c r="G122" s="4"/>
    </row>
    <row r="123" spans="1:7" x14ac:dyDescent="0.25">
      <c r="A123" t="str" cm="1">
        <f t="array" ref="A123">_xlfn.IFS(C1="Decimal",(IF(INT(RIGHT(CONCATENATE(IF($C$2&lt;10,CONCATENATE("0",$C$2),$C$2),".","118"),3))&lt;($C$3+1),CONCATENATE(IF($C$2&lt;10,CONCATENATE("0",$C$2),$C$2),".","118"),"")),C1="Hex",(IF(INT(RIGHT(CONCATENATE(IF($C$2&lt;10,CONCATENATE("0",$C$2),$C$2),".","118"),3))&lt;($C$3+1),CONCATENATE(DEC2HEX($C$2),".","118"),"")))</f>
        <v/>
      </c>
      <c r="B123" s="7" t="s">
        <v>11</v>
      </c>
      <c r="C123" t="str">
        <f t="shared" si="1"/>
        <v/>
      </c>
      <c r="D123" s="6"/>
      <c r="E123" s="6" t="str">
        <f>IFERROR(VLOOKUP(D123,Lists!C:D,2,FALSE),"")</f>
        <v/>
      </c>
      <c r="F123" t="str">
        <f>IFERROR(VLOOKUP(D123,Lists!C:E,3,FALSE),"")</f>
        <v/>
      </c>
      <c r="G123" s="2"/>
    </row>
    <row r="124" spans="1:7" x14ac:dyDescent="0.25">
      <c r="A124" t="str" cm="1">
        <f t="array" ref="A124">_xlfn.IFS(C1="Decimal",(IF(INT(RIGHT(CONCATENATE(IF($C$2&lt;10,CONCATENATE("0",$C$2),$C$2),".","119"),3))&lt;($C$3+1),CONCATENATE(IF($C$2&lt;10,CONCATENATE("0",$C$2),$C$2),".","119"),"")),C1="Hex",(IF(INT(RIGHT(CONCATENATE(IF($C$2&lt;10,CONCATENATE("0",$C$2),$C$2),".","119"),3))&lt;($C$3+1),CONCATENATE(DEC2HEX($C$2),".","119"),"")))</f>
        <v/>
      </c>
      <c r="B124" s="7" t="s">
        <v>11</v>
      </c>
      <c r="C124" t="str">
        <f t="shared" si="1"/>
        <v/>
      </c>
      <c r="D124" s="6"/>
      <c r="E124" s="6" t="str">
        <f>IFERROR(VLOOKUP(D124,Lists!C:D,2,FALSE),"")</f>
        <v/>
      </c>
      <c r="F124" t="str">
        <f>IFERROR(VLOOKUP(D124,Lists!C:E,3,FALSE),"")</f>
        <v/>
      </c>
      <c r="G124" s="2"/>
    </row>
    <row r="125" spans="1:7" x14ac:dyDescent="0.25">
      <c r="A125" t="str" cm="1">
        <f t="array" ref="A125">_xlfn.IFS(C1="Decimal",(IF(INT(RIGHT(CONCATENATE(IF($C$2&lt;10,CONCATENATE("0",$C$2),$C$2),".","120"),3))&lt;($C$3+1),CONCATENATE(IF($C$2&lt;10,CONCATENATE("0",$C$2),$C$2),".","120"),"")),C1="Hex",(IF(INT(RIGHT(CONCATENATE(IF($C$2&lt;10,CONCATENATE("0",$C$2),$C$2),".","120"),3))&lt;($C$3+1),CONCATENATE(DEC2HEX($C$2),".","120"),"")))</f>
        <v/>
      </c>
      <c r="B125" s="7" t="s">
        <v>11</v>
      </c>
      <c r="C125" t="str">
        <f t="shared" si="1"/>
        <v/>
      </c>
      <c r="D125" s="6"/>
      <c r="E125" s="6" t="str">
        <f>IFERROR(VLOOKUP(D125,Lists!C:D,2,FALSE),"")</f>
        <v/>
      </c>
      <c r="F125" t="str">
        <f>IFERROR(VLOOKUP(D125,Lists!C:E,3,FALSE),"")</f>
        <v/>
      </c>
      <c r="G125" s="2"/>
    </row>
    <row r="126" spans="1:7" x14ac:dyDescent="0.25">
      <c r="A126" t="str" cm="1">
        <f t="array" ref="A126">_xlfn.IFS(C1="Decimal",(IF(INT(RIGHT(CONCATENATE(IF($C$2&lt;10,CONCATENATE("0",$C$2),$C$2),".","121"),3))&lt;($C$3+1),CONCATENATE(IF($C$2&lt;10,CONCATENATE("0",$C$2),$C$2),".","121"),"")),C1="Hex",(IF(INT(RIGHT(CONCATENATE(IF($C$2&lt;10,CONCATENATE("0",$C$2),$C$2),".","121"),3))&lt;($C$3+1),CONCATENATE(DEC2HEX($C$2),".","121"),"")))</f>
        <v/>
      </c>
      <c r="B126" s="7" t="s">
        <v>11</v>
      </c>
      <c r="C126" t="str">
        <f t="shared" si="1"/>
        <v/>
      </c>
      <c r="D126" s="6"/>
      <c r="E126" s="6" t="str">
        <f>IFERROR(VLOOKUP(D126,Lists!C:D,2,FALSE),"")</f>
        <v/>
      </c>
      <c r="F126" t="str">
        <f>IFERROR(VLOOKUP(D126,Lists!C:E,3,FALSE),"")</f>
        <v/>
      </c>
      <c r="G126" s="4"/>
    </row>
    <row r="127" spans="1:7" x14ac:dyDescent="0.25">
      <c r="A127" t="str" cm="1">
        <f t="array" ref="A127">_xlfn.IFS(C1="Decimal",(IF(INT(RIGHT(CONCATENATE(IF($C$2&lt;10,CONCATENATE("0",$C$2),$C$2),".","122"),3))&lt;($C$3+1),CONCATENATE(IF($C$2&lt;10,CONCATENATE("0",$C$2),$C$2),".","122"),"")),C1="Hex",(IF(INT(RIGHT(CONCATENATE(IF($C$2&lt;10,CONCATENATE("0",$C$2),$C$2),".","122"),3))&lt;($C$3+1),CONCATENATE(DEC2HEX($C$2),".","122"),"")))</f>
        <v/>
      </c>
      <c r="B127" s="7" t="s">
        <v>11</v>
      </c>
      <c r="C127" t="str">
        <f t="shared" si="1"/>
        <v/>
      </c>
      <c r="D127" s="6"/>
      <c r="E127" s="6" t="str">
        <f>IFERROR(VLOOKUP(D127,Lists!C:D,2,FALSE),"")</f>
        <v/>
      </c>
      <c r="F127" t="str">
        <f>IFERROR(VLOOKUP(D127,Lists!C:E,3,FALSE),"")</f>
        <v/>
      </c>
      <c r="G127" s="2"/>
    </row>
    <row r="128" spans="1:7" x14ac:dyDescent="0.25">
      <c r="A128" t="str" cm="1">
        <f t="array" ref="A128">_xlfn.IFS(C1="Decimal",(IF(INT(RIGHT(CONCATENATE(IF($C$2&lt;10,CONCATENATE("0",$C$2),$C$2),".","123"),3))&lt;($C$3+1),CONCATENATE(IF($C$2&lt;10,CONCATENATE("0",$C$2),$C$2),".","123"),"")),C1="Hex",(IF(INT(RIGHT(CONCATENATE(IF($C$2&lt;10,CONCATENATE("0",$C$2),$C$2),".","123"),3))&lt;($C$3+1),CONCATENATE(DEC2HEX($C$2),".","123"),"")))</f>
        <v/>
      </c>
      <c r="B128" s="7" t="s">
        <v>11</v>
      </c>
      <c r="C128" t="str">
        <f t="shared" si="1"/>
        <v/>
      </c>
      <c r="D128" s="6"/>
      <c r="E128" s="6" t="str">
        <f>IFERROR(VLOOKUP(D128,Lists!C:D,2,FALSE),"")</f>
        <v/>
      </c>
      <c r="F128" t="str">
        <f>IFERROR(VLOOKUP(D128,Lists!C:E,3,FALSE),"")</f>
        <v/>
      </c>
      <c r="G128" s="2"/>
    </row>
    <row r="129" spans="1:7" x14ac:dyDescent="0.25">
      <c r="A129" t="str" cm="1">
        <f t="array" ref="A129">_xlfn.IFS(C1="Decimal",(IF(INT(RIGHT(CONCATENATE(IF($C$2&lt;10,CONCATENATE("0",$C$2),$C$2),".","124"),3))&lt;($C$3+1),CONCATENATE(IF($C$2&lt;10,CONCATENATE("0",$C$2),$C$2),".","124"),"")),C1="Hex",(IF(INT(RIGHT(CONCATENATE(IF($C$2&lt;10,CONCATENATE("0",$C$2),$C$2),".","124"),3))&lt;($C$3+1),CONCATENATE(DEC2HEX($C$2),".","124"),"")))</f>
        <v/>
      </c>
      <c r="B129" s="7" t="s">
        <v>11</v>
      </c>
      <c r="C129" t="str">
        <f t="shared" si="1"/>
        <v/>
      </c>
      <c r="D129" s="6"/>
      <c r="E129" s="6" t="str">
        <f>IFERROR(VLOOKUP(D129,Lists!C:D,2,FALSE),"")</f>
        <v/>
      </c>
      <c r="F129" t="str">
        <f>IFERROR(VLOOKUP(D129,Lists!C:E,3,FALSE),"")</f>
        <v/>
      </c>
      <c r="G129" s="2"/>
    </row>
    <row r="130" spans="1:7" x14ac:dyDescent="0.25">
      <c r="A130" t="str" cm="1">
        <f t="array" ref="A130">_xlfn.IFS(C1="Decimal",(IF(INT(RIGHT(CONCATENATE(IF($C$2&lt;10,CONCATENATE("0",$C$2),$C$2),".","125"),3))&lt;($C$3+1),CONCATENATE(IF($C$2&lt;10,CONCATENATE("0",$C$2),$C$2),".","125"),"")),C1="Hex",(IF(INT(RIGHT(CONCATENATE(IF($C$2&lt;10,CONCATENATE("0",$C$2),$C$2),".","125"),3))&lt;($C$3+1),CONCATENATE(DEC2HEX($C$2),".","125"),"")))</f>
        <v/>
      </c>
      <c r="B130" s="7" t="s">
        <v>11</v>
      </c>
      <c r="C130" t="str">
        <f t="shared" si="1"/>
        <v/>
      </c>
      <c r="D130" s="6"/>
      <c r="E130" s="6" t="str">
        <f>IFERROR(VLOOKUP(D130,Lists!C:D,2,FALSE),"")</f>
        <v/>
      </c>
      <c r="F130" t="str">
        <f>IFERROR(VLOOKUP(D130,Lists!C:E,3,FALSE),"")</f>
        <v/>
      </c>
      <c r="G130" s="4"/>
    </row>
    <row r="131" spans="1:7" x14ac:dyDescent="0.25">
      <c r="A131" t="str" cm="1">
        <f t="array" ref="A131">_xlfn.IFS(C1="Decimal",(IF(INT(RIGHT(CONCATENATE(IF($C$2&lt;10,CONCATENATE("0",$C$2),$C$2),".","126"),3))&lt;($C$3+1),CONCATENATE(IF($C$2&lt;10,CONCATENATE("0",$C$2),$C$2),".","126"),"")),C1="Hex",(IF(INT(RIGHT(CONCATENATE(IF($C$2&lt;10,CONCATENATE("0",$C$2),$C$2),".","126"),3))&lt;($C$3+1),CONCATENATE(DEC2HEX($C$2),".","126"),"")))</f>
        <v/>
      </c>
      <c r="B131" s="7" t="s">
        <v>11</v>
      </c>
      <c r="C131" t="str">
        <f t="shared" si="1"/>
        <v/>
      </c>
      <c r="D131" s="6"/>
      <c r="E131" s="6" t="str">
        <f>IFERROR(VLOOKUP(D131,Lists!C:D,2,FALSE),"")</f>
        <v/>
      </c>
      <c r="F131" t="str">
        <f>IFERROR(VLOOKUP(D131,Lists!C:E,3,FALSE),"")</f>
        <v/>
      </c>
      <c r="G131" s="2"/>
    </row>
    <row r="132" spans="1:7" x14ac:dyDescent="0.25">
      <c r="B132" s="7" t="s">
        <v>11</v>
      </c>
      <c r="C132" t="str">
        <f t="shared" si="1"/>
        <v/>
      </c>
    </row>
    <row r="133" spans="1:7" x14ac:dyDescent="0.25">
      <c r="B133" s="7" t="s">
        <v>11</v>
      </c>
      <c r="C133" t="str">
        <f t="shared" si="1"/>
        <v/>
      </c>
    </row>
  </sheetData>
  <sheetProtection algorithmName="SHA-512" hashValue="FPxl49GWPoTlq0ztp+qhEyhxtyqJ8sgZ6vtsocrodd5kP85sSNuGMwihCcVJpudS2hfMx+zUIx9eU1tXFLJ0tQ==" saltValue="2GOXYETscFf2WYaVcg39uw==" spinCount="100000" sheet="1" objects="1" scenarios="1" selectLockedCells="1"/>
  <dataConsolidate/>
  <mergeCells count="2">
    <mergeCell ref="A2:B2"/>
    <mergeCell ref="A3:B3"/>
  </mergeCells>
  <phoneticPr fontId="3" type="noConversion"/>
  <conditionalFormatting sqref="E6:E131">
    <cfRule type="containsText" dxfId="0" priority="1" operator="containsText" text="Overskriv med Ja eller NEI">
      <formula>NOT(ISERROR(SEARCH("Overskriv med Ja eller NEI",E6)))</formula>
    </cfRule>
  </conditionalFormatting>
  <dataValidations xWindow="309" yWindow="432" count="5">
    <dataValidation type="textLength" allowBlank="1" showInputMessage="1" showErrorMessage="1" promptTitle="Max 40 tegn" prompt="Det er en begrensing på maksimalt 40  tegn på sentralen. Kun store bokstaver" sqref="B6:B133" xr:uid="{00000000-0002-0000-0000-000002000000}">
      <formula1>0</formula1>
      <formula2>40</formula2>
    </dataValidation>
    <dataValidation allowBlank="1" showInputMessage="1" showErrorMessage="1" promptTitle="Detektornummer oppdateres autom." prompt="Detektornummeret oppdateres automatisk, er du sikker på at du vil skrive over manuelt?" sqref="A6:A131" xr:uid="{00000000-0002-0000-0000-000003000000}"/>
    <dataValidation allowBlank="1" showInputMessage="1" showErrorMessage="1" promptTitle="Her vises antall tegn" prompt="I denne cella vises hvor mange tegn detektornavnet inneholder, dette til hjelp for å gjøre det lettere å holde seg under den maksimale grensen på 40 tegn" sqref="C6:C133" xr:uid="{00000000-0002-0000-0000-000004000000}"/>
    <dataValidation type="list" allowBlank="1" showInputMessage="1" showErrorMessage="1" promptTitle="Her velges detektortype" prompt="Her velges detektortype fra en rullgardin" sqref="D6:D131" xr:uid="{00000000-0002-0000-0000-000005000000}">
      <formula1>Detektortype</formula1>
    </dataValidation>
    <dataValidation allowBlank="1" showInputMessage="1" showErrorMessage="1" promptTitle="Hvis celle er rød, kreves input" prompt="Hvis cella er rød med tekst &quot;Overskriv med Ja eller Nei&quot;, så kreves det at informasjon gis ift detektoren har relesokkel eller ikke." sqref="E6:E131" xr:uid="{00000000-0002-0000-0000-000006000000}"/>
  </dataValidations>
  <pageMargins left="0.70866141732283472" right="0.70866141732283472" top="0.74803149606299213" bottom="0.74803149606299213" header="0.31496062992125984" footer="0.31496062992125984"/>
  <pageSetup scale="8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Kopiere_sløyfer">
                <anchor moveWithCells="1" sizeWithCells="1">
                  <from>
                    <xdr:col>4</xdr:col>
                    <xdr:colOff>352425</xdr:colOff>
                    <xdr:row>0</xdr:row>
                    <xdr:rowOff>133350</xdr:rowOff>
                  </from>
                  <to>
                    <xdr:col>7</xdr:col>
                    <xdr:colOff>409575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09" yWindow="432" count="3">
        <x14:dataValidation type="list" allowBlank="1" showInputMessage="1" showErrorMessage="1" xr:uid="{1F647C2F-69A0-4D45-8299-4E001F0C8990}">
          <x14:formula1>
            <xm:f>Lists!$M$1:$M$2</xm:f>
          </x14:formula1>
          <xm:sqref>C1</xm:sqref>
        </x14:dataValidation>
        <x14:dataValidation type="list" allowBlank="1" showInputMessage="1" showErrorMessage="1" xr:uid="{00000000-0002-0000-0000-000000000000}">
          <x14:formula1>
            <xm:f>Lists!$A:$A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Lists!$B:$B</xm:f>
          </x14:formula1>
          <xm:sqref>C3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81F96C0550844BBD82DAFC5ED740E" ma:contentTypeVersion="15" ma:contentTypeDescription="Create a new document." ma:contentTypeScope="" ma:versionID="df051daa462c774ee86399cfd8f67b76">
  <xsd:schema xmlns:xsd="http://www.w3.org/2001/XMLSchema" xmlns:xs="http://www.w3.org/2001/XMLSchema" xmlns:p="http://schemas.microsoft.com/office/2006/metadata/properties" xmlns:ns2="4aa0599a-e102-4843-b94e-85043838dc71" xmlns:ns3="8ee06c20-7385-42fc-b44d-a1c52f2d22f6" targetNamespace="http://schemas.microsoft.com/office/2006/metadata/properties" ma:root="true" ma:fieldsID="0b65820396c9eb44645c4c9d02eb110e" ns2:_="" ns3:_="">
    <xsd:import namespace="4aa0599a-e102-4843-b94e-85043838dc71"/>
    <xsd:import namespace="8ee06c20-7385-42fc-b44d-a1c52f2d2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okumenttype" minOccurs="0"/>
                <xsd:element ref="ns2:System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0599a-e102-4843-b94e-85043838d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okumenttype" ma:index="15" nillable="true" ma:displayName="Dokumenttype" ma:format="Dropdown" ma:internalName="Dokumenttype">
      <xsd:simpleType>
        <xsd:union memberTypes="dms:Text">
          <xsd:simpleType>
            <xsd:restriction base="dms:Choice">
              <xsd:enumeration value="Brosjyre"/>
              <xsd:enumeration value="Brukermanual"/>
              <xsd:enumeration value="Datablad"/>
              <xsd:enumeration value="Program"/>
              <xsd:enumeration value="Prosedyre"/>
              <xsd:enumeration value="Serviceinstruks"/>
              <xsd:enumeration value="SOS"/>
              <xsd:enumeration value="Tegning"/>
            </xsd:restriction>
          </xsd:simpleType>
        </xsd:union>
      </xsd:simpleType>
    </xsd:element>
    <xsd:element name="System" ma:index="16" nillable="true" ma:displayName="System" ma:format="Dropdown" ma:internalName="System">
      <xsd:simpleType>
        <xsd:restriction base="dms:Choice">
          <xsd:enumeration value="Brann"/>
          <xsd:enumeration value="Nødlys"/>
          <xsd:enumeration value="Tale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06c20-7385-42fc-b44d-a1c52f2d2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e xmlns="4aa0599a-e102-4843-b94e-85043838dc71" xsi:nil="true"/>
    <System xmlns="4aa0599a-e102-4843-b94e-85043838dc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5090A-D7D3-4469-AB41-CD449A19E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0599a-e102-4843-b94e-85043838dc71"/>
    <ds:schemaRef ds:uri="8ee06c20-7385-42fc-b44d-a1c52f2d2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2E0FA-E4A2-474E-826D-D90DABE1ABE8}">
  <ds:schemaRefs>
    <ds:schemaRef ds:uri="http://schemas.microsoft.com/office/2006/metadata/properties"/>
    <ds:schemaRef ds:uri="http://schemas.microsoft.com/office/infopath/2007/PartnerControls"/>
    <ds:schemaRef ds:uri="4aa0599a-e102-4843-b94e-85043838dc71"/>
  </ds:schemaRefs>
</ds:datastoreItem>
</file>

<file path=customXml/itemProps3.xml><?xml version="1.0" encoding="utf-8"?>
<ds:datastoreItem xmlns:ds="http://schemas.openxmlformats.org/officeDocument/2006/customXml" ds:itemID="{8534BFCC-9B2A-452A-B46D-299E189E4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 Honeywell</vt:lpstr>
      <vt:lpstr>Lists</vt:lpstr>
      <vt:lpstr>1</vt:lpstr>
      <vt:lpstr>Antall_detektorer</vt:lpstr>
      <vt:lpstr>Antall_sløyfer</vt:lpstr>
      <vt:lpstr>Detektortype</vt:lpstr>
      <vt:lpstr>'1'!Print_Area</vt:lpstr>
      <vt:lpstr>'1'!Print_Titles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Hjelle, Lars Rune</dc:creator>
  <cp:keywords/>
  <dc:description/>
  <cp:lastModifiedBy>Pedersveen, Geir</cp:lastModifiedBy>
  <cp:revision/>
  <cp:lastPrinted>2022-05-16T13:31:45Z</cp:lastPrinted>
  <dcterms:created xsi:type="dcterms:W3CDTF">2019-08-30T11:24:51Z</dcterms:created>
  <dcterms:modified xsi:type="dcterms:W3CDTF">2022-06-14T12:30:26Z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0x01010094C81F96C0550844BBD82DAFC5ED740E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2022-06-14T12:29:38Z</vt:lpwstr>
  </property>
  <property fmtid="{D5CDD505-2E9C-101B-9397-08002B2CF9AE}" pid="5" name="MSIP_Label_d546e5e1-5d42-4630-bacd-c69bfdcbd5e8_Method">
    <vt:lpwstr>Privileged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af757cd4-e019-4754-bfa7-94677ad78b66</vt:lpwstr>
  </property>
  <property fmtid="{D5CDD505-2E9C-101B-9397-08002B2CF9AE}" pid="9" name="MSIP_Label_d546e5e1-5d42-4630-bacd-c69bfdcbd5e8_ContentBits">
    <vt:lpwstr>0</vt:lpwstr>
  </property>
</Properties>
</file>